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OSM\1.22.1.1\Help\OSM.Acadian.HelpFiles\"/>
    </mc:Choice>
  </mc:AlternateContent>
  <xr:revisionPtr revIDLastSave="0" documentId="13_ncr:1_{A2140B5F-ACB0-4E70-9850-D10164CA4DC2}" xr6:coauthVersionLast="46" xr6:coauthVersionMax="46" xr10:uidLastSave="{00000000-0000-0000-0000-000000000000}"/>
  <bookViews>
    <workbookView xWindow="-110" yWindow="-110" windowWidth="20700" windowHeight="11020" activeTab="2" xr2:uid="{00000000-000D-0000-FFFF-FFFF00000000}"/>
  </bookViews>
  <sheets>
    <sheet name="Outbreak assumptions" sheetId="1" r:id="rId1"/>
    <sheet name="Host L2 --&gt; DEFOL relationship" sheetId="4" r:id="rId2"/>
    <sheet name="Host DEFOL --&gt; Impact"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 l="1"/>
  <c r="K10" i="1"/>
  <c r="F17" i="1"/>
  <c r="F21" i="1" s="1"/>
  <c r="D8" i="1"/>
  <c r="E8" i="1" l="1"/>
  <c r="F8" i="1" s="1"/>
  <c r="G8" i="1" s="1"/>
  <c r="H8" i="1" s="1"/>
  <c r="I8" i="1" s="1"/>
  <c r="J8" i="1" s="1"/>
  <c r="K8" i="1" s="1"/>
  <c r="L8" i="1" s="1"/>
  <c r="M8" i="1" s="1"/>
  <c r="N8" i="1" s="1"/>
  <c r="D10" i="1"/>
  <c r="D3" i="1"/>
  <c r="E3" i="1" s="1"/>
  <c r="F3" i="1" s="1"/>
  <c r="G3" i="1" s="1"/>
  <c r="H3" i="1" s="1"/>
  <c r="I3" i="1" s="1"/>
  <c r="J3" i="1" s="1"/>
  <c r="K3" i="1" s="1"/>
  <c r="L3" i="1" s="1"/>
  <c r="M3" i="1" s="1"/>
  <c r="N3" i="1" s="1"/>
  <c r="O3" i="1" s="1"/>
  <c r="P3" i="1" s="1"/>
  <c r="Q3" i="1" s="1"/>
  <c r="R3" i="1" s="1"/>
  <c r="S3" i="1" s="1"/>
  <c r="T3" i="1" s="1"/>
  <c r="U3" i="1" s="1"/>
  <c r="V3" i="1" s="1"/>
  <c r="W3" i="1" s="1"/>
  <c r="X3" i="1" s="1"/>
  <c r="Y3" i="1" s="1"/>
  <c r="Z3" i="1" s="1"/>
  <c r="AA3" i="1" s="1"/>
  <c r="G10" i="1" l="1"/>
  <c r="G11" i="1"/>
  <c r="I11" i="1" l="1"/>
  <c r="J11" i="1" l="1"/>
  <c r="J18" i="1" s="1"/>
  <c r="AA18" i="1"/>
  <c r="Z18" i="1"/>
  <c r="Y18" i="1"/>
  <c r="AA17" i="1"/>
  <c r="J17" i="1"/>
  <c r="AA11" i="1"/>
  <c r="Z11" i="1"/>
  <c r="Y11" i="1"/>
  <c r="X11" i="1"/>
  <c r="X18" i="1" s="1"/>
  <c r="W11" i="1"/>
  <c r="W18" i="1" s="1"/>
  <c r="AA10" i="1"/>
  <c r="Z10" i="1"/>
  <c r="Z17" i="1" s="1"/>
  <c r="Y10" i="1"/>
  <c r="Y17" i="1" s="1"/>
  <c r="X10" i="1"/>
  <c r="X17" i="1" s="1"/>
  <c r="W10" i="1"/>
  <c r="W17" i="1" s="1"/>
  <c r="K11" i="1" l="1"/>
  <c r="Y24" i="1"/>
  <c r="Y23" i="1"/>
  <c r="Y21" i="1"/>
  <c r="Y22" i="1"/>
  <c r="X26" i="1"/>
  <c r="X27" i="1"/>
  <c r="X28" i="1"/>
  <c r="X29" i="1"/>
  <c r="Z23" i="1"/>
  <c r="Z24" i="1"/>
  <c r="Z21" i="1"/>
  <c r="Z22" i="1"/>
  <c r="Y26" i="1"/>
  <c r="Y27" i="1"/>
  <c r="Y28" i="1"/>
  <c r="Y29" i="1"/>
  <c r="Z29" i="1"/>
  <c r="Z26" i="1"/>
  <c r="Z27" i="1"/>
  <c r="Z28" i="1"/>
  <c r="W22" i="1"/>
  <c r="W23" i="1"/>
  <c r="W21" i="1"/>
  <c r="W24" i="1"/>
  <c r="AA22" i="1"/>
  <c r="AA23" i="1"/>
  <c r="AA24" i="1"/>
  <c r="AA21" i="1"/>
  <c r="X21" i="1"/>
  <c r="X22" i="1"/>
  <c r="X23" i="1"/>
  <c r="X24" i="1"/>
  <c r="W28" i="1"/>
  <c r="W29" i="1"/>
  <c r="W27" i="1"/>
  <c r="W26" i="1"/>
  <c r="AA28" i="1"/>
  <c r="AA26" i="1"/>
  <c r="AA27" i="1"/>
  <c r="AA29" i="1"/>
  <c r="W13" i="1"/>
  <c r="X13" i="1"/>
  <c r="Z14" i="1"/>
  <c r="AA13" i="1"/>
  <c r="Y13" i="1"/>
  <c r="W14" i="1"/>
  <c r="AA14" i="1"/>
  <c r="Y14" i="1"/>
  <c r="Z13" i="1"/>
  <c r="X14" i="1"/>
  <c r="L11" i="1" l="1"/>
  <c r="L10" i="1"/>
  <c r="L17" i="1" s="1"/>
  <c r="E14" i="4"/>
  <c r="D14" i="4"/>
  <c r="C14" i="4"/>
  <c r="M11" i="1" l="1"/>
  <c r="M10" i="1"/>
  <c r="B5" i="4"/>
  <c r="B14" i="4"/>
  <c r="A6" i="4"/>
  <c r="J14" i="1"/>
  <c r="L13" i="1"/>
  <c r="K13" i="1"/>
  <c r="J13" i="1"/>
  <c r="V11" i="1"/>
  <c r="U11" i="1"/>
  <c r="V10" i="1"/>
  <c r="V17" i="1" s="1"/>
  <c r="U10" i="1"/>
  <c r="U17" i="1" s="1"/>
  <c r="T11" i="1"/>
  <c r="C11" i="1"/>
  <c r="C18" i="1" s="1"/>
  <c r="T10" i="1"/>
  <c r="C10" i="1"/>
  <c r="V14" i="1" l="1"/>
  <c r="V18" i="1"/>
  <c r="V24" i="1"/>
  <c r="V22" i="1"/>
  <c r="AA33" i="1" s="1"/>
  <c r="V21" i="1"/>
  <c r="AA32" i="1" s="1"/>
  <c r="V23" i="1"/>
  <c r="U24" i="1"/>
  <c r="U21" i="1"/>
  <c r="U23" i="1"/>
  <c r="U22" i="1"/>
  <c r="U14" i="1"/>
  <c r="U18" i="1"/>
  <c r="T14" i="1"/>
  <c r="T18" i="1"/>
  <c r="N10" i="1"/>
  <c r="T13" i="1"/>
  <c r="T17" i="1"/>
  <c r="J23" i="1"/>
  <c r="J29" i="1"/>
  <c r="J22" i="1"/>
  <c r="J28" i="1"/>
  <c r="J27" i="1"/>
  <c r="J24" i="1"/>
  <c r="J26" i="1"/>
  <c r="J21" i="1"/>
  <c r="C28" i="1"/>
  <c r="C26" i="1"/>
  <c r="C37" i="1" s="1"/>
  <c r="C29" i="1"/>
  <c r="C40" i="1" s="1"/>
  <c r="C27" i="1"/>
  <c r="C38" i="1" s="1"/>
  <c r="C13" i="1"/>
  <c r="C17" i="1"/>
  <c r="AA34" i="1"/>
  <c r="AA35" i="1"/>
  <c r="C5" i="4"/>
  <c r="D5" i="4"/>
  <c r="B6" i="4"/>
  <c r="U13" i="1"/>
  <c r="V13" i="1"/>
  <c r="A7" i="4"/>
  <c r="A8" i="4" s="1"/>
  <c r="C14" i="1"/>
  <c r="H18" i="1"/>
  <c r="D17" i="1"/>
  <c r="I18" i="1"/>
  <c r="G17" i="1"/>
  <c r="D11" i="1"/>
  <c r="D18" i="1" s="1"/>
  <c r="H17" i="1"/>
  <c r="E11" i="1"/>
  <c r="E18" i="1" s="1"/>
  <c r="E10" i="1"/>
  <c r="E17" i="1" s="1"/>
  <c r="I17" i="1"/>
  <c r="F11" i="1"/>
  <c r="F18" i="1" s="1"/>
  <c r="K18" i="1"/>
  <c r="F10" i="1"/>
  <c r="G18" i="1"/>
  <c r="U26" i="1" l="1"/>
  <c r="U29" i="1"/>
  <c r="U27" i="1"/>
  <c r="U28" i="1"/>
  <c r="V28" i="1"/>
  <c r="V26" i="1"/>
  <c r="V27" i="1"/>
  <c r="V29" i="1"/>
  <c r="AA40" i="1" s="1"/>
  <c r="T28" i="1"/>
  <c r="T29" i="1"/>
  <c r="T26" i="1"/>
  <c r="T27" i="1"/>
  <c r="O10" i="1"/>
  <c r="O17" i="1" s="1"/>
  <c r="O21" i="1" s="1"/>
  <c r="T23" i="1"/>
  <c r="Y34" i="1" s="1"/>
  <c r="T21" i="1"/>
  <c r="Y32" i="1" s="1"/>
  <c r="T22" i="1"/>
  <c r="Y33" i="1" s="1"/>
  <c r="T24" i="1"/>
  <c r="Y35" i="1" s="1"/>
  <c r="E29" i="1"/>
  <c r="E28" i="1"/>
  <c r="E26" i="1"/>
  <c r="E27" i="1"/>
  <c r="H26" i="1"/>
  <c r="H29" i="1"/>
  <c r="H27" i="1"/>
  <c r="H28" i="1"/>
  <c r="F23" i="1"/>
  <c r="F24" i="1"/>
  <c r="F22" i="1"/>
  <c r="I24" i="1"/>
  <c r="I21" i="1"/>
  <c r="I22" i="1"/>
  <c r="I23" i="1"/>
  <c r="I26" i="1"/>
  <c r="I27" i="1"/>
  <c r="I29" i="1"/>
  <c r="I28" i="1"/>
  <c r="F29" i="1"/>
  <c r="F28" i="1"/>
  <c r="F26" i="1"/>
  <c r="F27" i="1"/>
  <c r="G28" i="1"/>
  <c r="G27" i="1"/>
  <c r="G29" i="1"/>
  <c r="G26" i="1"/>
  <c r="K28" i="1"/>
  <c r="K29" i="1"/>
  <c r="K26" i="1"/>
  <c r="K27" i="1"/>
  <c r="E22" i="1"/>
  <c r="E23" i="1"/>
  <c r="E24" i="1"/>
  <c r="E21" i="1"/>
  <c r="H21" i="1"/>
  <c r="H24" i="1"/>
  <c r="H22" i="1"/>
  <c r="H23" i="1"/>
  <c r="G22" i="1"/>
  <c r="G21" i="1"/>
  <c r="G23" i="1"/>
  <c r="G24" i="1"/>
  <c r="K22" i="1"/>
  <c r="K23" i="1"/>
  <c r="K21" i="1"/>
  <c r="K24" i="1"/>
  <c r="D21" i="1"/>
  <c r="D23" i="1"/>
  <c r="D24" i="1"/>
  <c r="D22" i="1"/>
  <c r="D26" i="1"/>
  <c r="D27" i="1"/>
  <c r="D28" i="1"/>
  <c r="D29" i="1"/>
  <c r="C23" i="1"/>
  <c r="C34" i="1" s="1"/>
  <c r="C24" i="1"/>
  <c r="C21" i="1"/>
  <c r="C22" i="1"/>
  <c r="C33" i="1" s="1"/>
  <c r="Z35" i="1"/>
  <c r="C39" i="1"/>
  <c r="Z34" i="1"/>
  <c r="Z33" i="1"/>
  <c r="Z32" i="1"/>
  <c r="AA38" i="1"/>
  <c r="AA39" i="1"/>
  <c r="AA37" i="1"/>
  <c r="E6" i="4"/>
  <c r="C6" i="4"/>
  <c r="D6" i="4"/>
  <c r="B8" i="4"/>
  <c r="B7" i="4"/>
  <c r="C7" i="4" s="1"/>
  <c r="C35" i="1"/>
  <c r="A9" i="4"/>
  <c r="H13" i="1"/>
  <c r="F14" i="1"/>
  <c r="D13" i="1"/>
  <c r="F13" i="1"/>
  <c r="E14" i="1"/>
  <c r="D14" i="1"/>
  <c r="H14" i="1"/>
  <c r="K14" i="1"/>
  <c r="E13" i="1"/>
  <c r="G13" i="1"/>
  <c r="G14" i="1"/>
  <c r="I13" i="1"/>
  <c r="I14" i="1"/>
  <c r="Y37" i="1" l="1"/>
  <c r="L21" i="1"/>
  <c r="L24" i="1"/>
  <c r="L22" i="1"/>
  <c r="L23" i="1"/>
  <c r="Y40" i="1"/>
  <c r="Z40" i="1"/>
  <c r="Y39" i="1"/>
  <c r="Y38" i="1"/>
  <c r="Z37" i="1"/>
  <c r="C32" i="1"/>
  <c r="Z38" i="1"/>
  <c r="Z39" i="1"/>
  <c r="E8" i="4"/>
  <c r="C8" i="4"/>
  <c r="D8" i="4"/>
  <c r="D7" i="4"/>
  <c r="E7" i="4"/>
  <c r="B9" i="4"/>
  <c r="A10" i="4"/>
  <c r="L18" i="1" l="1"/>
  <c r="L14" i="1"/>
  <c r="H34" i="1"/>
  <c r="H33" i="1"/>
  <c r="J40" i="1"/>
  <c r="L32" i="1"/>
  <c r="I35" i="1"/>
  <c r="I39" i="1"/>
  <c r="H39" i="1"/>
  <c r="H35" i="1"/>
  <c r="I38" i="1"/>
  <c r="H38" i="1"/>
  <c r="K40" i="1"/>
  <c r="K34" i="1"/>
  <c r="J39" i="1"/>
  <c r="L35" i="1"/>
  <c r="J33" i="1"/>
  <c r="I32" i="1"/>
  <c r="K39" i="1"/>
  <c r="J32" i="1"/>
  <c r="I37" i="1"/>
  <c r="H37" i="1"/>
  <c r="K37" i="1"/>
  <c r="K32" i="1"/>
  <c r="J37" i="1"/>
  <c r="L34" i="1"/>
  <c r="J35" i="1"/>
  <c r="I34" i="1"/>
  <c r="H32" i="1"/>
  <c r="K33" i="1"/>
  <c r="I40" i="1"/>
  <c r="H40" i="1"/>
  <c r="K38" i="1"/>
  <c r="K35" i="1"/>
  <c r="J38" i="1"/>
  <c r="L33" i="1"/>
  <c r="J34" i="1"/>
  <c r="I33" i="1"/>
  <c r="E9" i="4"/>
  <c r="C9" i="4"/>
  <c r="D9" i="4"/>
  <c r="B10" i="4"/>
  <c r="A11" i="4"/>
  <c r="G37" i="1"/>
  <c r="G34" i="1"/>
  <c r="D34" i="1"/>
  <c r="E34" i="1"/>
  <c r="F34" i="1"/>
  <c r="F39" i="1"/>
  <c r="D39" i="1"/>
  <c r="G39" i="1"/>
  <c r="E39" i="1"/>
  <c r="G38" i="1"/>
  <c r="D33" i="1"/>
  <c r="E33" i="1"/>
  <c r="G33" i="1"/>
  <c r="F33" i="1"/>
  <c r="E40" i="1"/>
  <c r="E37" i="1"/>
  <c r="F37" i="1"/>
  <c r="D37" i="1"/>
  <c r="E32" i="1"/>
  <c r="F32" i="1"/>
  <c r="D32" i="1"/>
  <c r="G32" i="1"/>
  <c r="D38" i="1"/>
  <c r="E38" i="1"/>
  <c r="F38" i="1"/>
  <c r="D40" i="1"/>
  <c r="G40" i="1"/>
  <c r="F40" i="1"/>
  <c r="E35" i="1"/>
  <c r="G35" i="1"/>
  <c r="D35" i="1"/>
  <c r="F35" i="1"/>
  <c r="M18" i="1" l="1"/>
  <c r="M14" i="1"/>
  <c r="M17" i="1"/>
  <c r="M13" i="1"/>
  <c r="N11" i="1"/>
  <c r="L26" i="1"/>
  <c r="L29" i="1"/>
  <c r="L27" i="1"/>
  <c r="L28" i="1"/>
  <c r="D10" i="4"/>
  <c r="E10" i="4"/>
  <c r="C10" i="4"/>
  <c r="B11" i="4"/>
  <c r="A12" i="4"/>
  <c r="C12" i="4" s="1"/>
  <c r="C45" i="1"/>
  <c r="F51" i="1"/>
  <c r="D51" i="1"/>
  <c r="C51" i="1"/>
  <c r="E51" i="1"/>
  <c r="G51" i="1"/>
  <c r="E43" i="1"/>
  <c r="G43" i="1"/>
  <c r="C43" i="1"/>
  <c r="F43" i="1"/>
  <c r="D43" i="1"/>
  <c r="D50" i="1"/>
  <c r="F50" i="1"/>
  <c r="G50" i="1"/>
  <c r="C50" i="1"/>
  <c r="H43" i="1"/>
  <c r="K43" i="1"/>
  <c r="L43" i="1"/>
  <c r="J43" i="1"/>
  <c r="I43" i="1"/>
  <c r="J44" i="1"/>
  <c r="I44" i="1"/>
  <c r="K44" i="1"/>
  <c r="H44" i="1"/>
  <c r="L44" i="1"/>
  <c r="K45" i="1"/>
  <c r="H45" i="1"/>
  <c r="L45" i="1"/>
  <c r="J45" i="1"/>
  <c r="I45" i="1"/>
  <c r="G49" i="1"/>
  <c r="F49" i="1"/>
  <c r="C49" i="1"/>
  <c r="E49" i="1"/>
  <c r="E50" i="1"/>
  <c r="F45" i="1"/>
  <c r="E45" i="1"/>
  <c r="G45" i="1"/>
  <c r="D45" i="1"/>
  <c r="J46" i="1"/>
  <c r="L46" i="1"/>
  <c r="K46" i="1"/>
  <c r="I46" i="1"/>
  <c r="H46" i="1"/>
  <c r="C44" i="1"/>
  <c r="F44" i="1"/>
  <c r="E44" i="1"/>
  <c r="D44" i="1"/>
  <c r="G44" i="1"/>
  <c r="F46" i="1"/>
  <c r="E46" i="1"/>
  <c r="C46" i="1"/>
  <c r="D46" i="1"/>
  <c r="G46" i="1"/>
  <c r="D49" i="1"/>
  <c r="E48" i="1"/>
  <c r="F48" i="1"/>
  <c r="C48" i="1"/>
  <c r="G48" i="1"/>
  <c r="D48" i="1"/>
  <c r="L39" i="1" l="1"/>
  <c r="N17" i="1"/>
  <c r="N13" i="1"/>
  <c r="M24" i="1"/>
  <c r="M21" i="1"/>
  <c r="M22" i="1"/>
  <c r="M23" i="1"/>
  <c r="L38" i="1"/>
  <c r="N18" i="1"/>
  <c r="N14" i="1"/>
  <c r="L37" i="1"/>
  <c r="L40" i="1"/>
  <c r="O11" i="1"/>
  <c r="M26" i="1"/>
  <c r="M27" i="1"/>
  <c r="M38" i="1" s="1"/>
  <c r="M29" i="1"/>
  <c r="M28" i="1"/>
  <c r="M39" i="1" s="1"/>
  <c r="E12" i="4"/>
  <c r="D12" i="4"/>
  <c r="D11" i="4"/>
  <c r="E11" i="4"/>
  <c r="C11" i="4"/>
  <c r="B12" i="4"/>
  <c r="A13" i="4"/>
  <c r="D13" i="4" l="1"/>
  <c r="C13" i="4"/>
  <c r="J51" i="1"/>
  <c r="L51" i="1"/>
  <c r="H51" i="1"/>
  <c r="K51" i="1"/>
  <c r="I51" i="1"/>
  <c r="P10" i="1"/>
  <c r="P11" i="1"/>
  <c r="M40" i="1"/>
  <c r="M33" i="1"/>
  <c r="N23" i="1"/>
  <c r="N34" i="1" s="1"/>
  <c r="N24" i="1"/>
  <c r="N35" i="1" s="1"/>
  <c r="N22" i="1"/>
  <c r="N33" i="1" s="1"/>
  <c r="N21" i="1"/>
  <c r="N32" i="1" s="1"/>
  <c r="O13" i="1"/>
  <c r="M37" i="1"/>
  <c r="J49" i="1"/>
  <c r="L49" i="1"/>
  <c r="K49" i="1"/>
  <c r="H49" i="1"/>
  <c r="I49" i="1"/>
  <c r="M32" i="1"/>
  <c r="K50" i="1"/>
  <c r="L50" i="1"/>
  <c r="I50" i="1"/>
  <c r="J50" i="1"/>
  <c r="H50" i="1"/>
  <c r="M34" i="1"/>
  <c r="O18" i="1"/>
  <c r="O14" i="1"/>
  <c r="J48" i="1"/>
  <c r="H48" i="1"/>
  <c r="K48" i="1"/>
  <c r="L48" i="1"/>
  <c r="I48" i="1"/>
  <c r="N29" i="1"/>
  <c r="N28" i="1"/>
  <c r="N39" i="1" s="1"/>
  <c r="N26" i="1"/>
  <c r="N27" i="1"/>
  <c r="M35" i="1"/>
  <c r="E13" i="4"/>
  <c r="B13" i="4"/>
  <c r="O28" i="1" l="1"/>
  <c r="O26" i="1"/>
  <c r="O29" i="1"/>
  <c r="O27" i="1"/>
  <c r="Q11" i="1"/>
  <c r="Q10" i="1"/>
  <c r="P17" i="1"/>
  <c r="P21" i="1" s="1"/>
  <c r="P13" i="1"/>
  <c r="N37" i="1"/>
  <c r="N40" i="1"/>
  <c r="O22" i="1"/>
  <c r="O24" i="1"/>
  <c r="O23" i="1"/>
  <c r="N38" i="1"/>
  <c r="P18" i="1"/>
  <c r="P14" i="1"/>
  <c r="A15" i="4"/>
  <c r="O32" i="1" l="1"/>
  <c r="P26" i="1"/>
  <c r="P27" i="1"/>
  <c r="P28" i="1"/>
  <c r="P29" i="1"/>
  <c r="P40" i="1" s="1"/>
  <c r="O40" i="1"/>
  <c r="P32" i="1"/>
  <c r="P23" i="1"/>
  <c r="P22" i="1"/>
  <c r="P33" i="1" s="1"/>
  <c r="P24" i="1"/>
  <c r="P35" i="1" s="1"/>
  <c r="Q18" i="1"/>
  <c r="Q14" i="1"/>
  <c r="O39" i="1"/>
  <c r="Q17" i="1"/>
  <c r="Q13" i="1"/>
  <c r="O33" i="1"/>
  <c r="O37" i="1"/>
  <c r="O35" i="1"/>
  <c r="O34" i="1"/>
  <c r="R10" i="1"/>
  <c r="R11" i="1"/>
  <c r="O38" i="1"/>
  <c r="P38" i="1"/>
  <c r="C15" i="4"/>
  <c r="D15" i="4"/>
  <c r="E15" i="4"/>
  <c r="B15" i="4"/>
  <c r="A16" i="4"/>
  <c r="R17" i="1" l="1"/>
  <c r="R13" i="1"/>
  <c r="S11" i="1"/>
  <c r="S10" i="1"/>
  <c r="P37" i="1"/>
  <c r="Q29" i="1"/>
  <c r="Q26" i="1"/>
  <c r="Q27" i="1"/>
  <c r="Q38" i="1" s="1"/>
  <c r="O49" i="1" s="1"/>
  <c r="Q28" i="1"/>
  <c r="P39" i="1"/>
  <c r="P34" i="1"/>
  <c r="R18" i="1"/>
  <c r="R14" i="1"/>
  <c r="Q24" i="1"/>
  <c r="Q23" i="1"/>
  <c r="Q34" i="1" s="1"/>
  <c r="Q21" i="1"/>
  <c r="Q32" i="1" s="1"/>
  <c r="Q22" i="1"/>
  <c r="D16" i="4"/>
  <c r="C16" i="4"/>
  <c r="E16" i="4"/>
  <c r="B16" i="4"/>
  <c r="A17" i="4"/>
  <c r="M43" i="1" l="1"/>
  <c r="N43" i="1"/>
  <c r="Q43" i="1"/>
  <c r="M45" i="1"/>
  <c r="N45" i="1"/>
  <c r="O45" i="1"/>
  <c r="Q45" i="1"/>
  <c r="Q35" i="1"/>
  <c r="N49" i="1"/>
  <c r="P49" i="1"/>
  <c r="Q37" i="1"/>
  <c r="P45" i="1"/>
  <c r="Q40" i="1"/>
  <c r="M49" i="1"/>
  <c r="O43" i="1"/>
  <c r="S17" i="1"/>
  <c r="S13" i="1"/>
  <c r="Q49" i="1"/>
  <c r="Q33" i="1"/>
  <c r="P43" i="1"/>
  <c r="S18" i="1"/>
  <c r="S14" i="1"/>
  <c r="R23" i="1"/>
  <c r="R21" i="1"/>
  <c r="R24" i="1"/>
  <c r="R22" i="1"/>
  <c r="R29" i="1"/>
  <c r="R26" i="1"/>
  <c r="R28" i="1"/>
  <c r="R39" i="1" s="1"/>
  <c r="R27" i="1"/>
  <c r="R38" i="1" s="1"/>
  <c r="Q39" i="1"/>
  <c r="O50" i="1" s="1"/>
  <c r="E17" i="4"/>
  <c r="D17" i="4"/>
  <c r="C17" i="4"/>
  <c r="B17" i="4"/>
  <c r="A18" i="4"/>
  <c r="AC17" i="1" l="1"/>
  <c r="AB17" i="1"/>
  <c r="M50" i="1"/>
  <c r="N50" i="1"/>
  <c r="Q50" i="1"/>
  <c r="S28" i="1"/>
  <c r="X39" i="1" s="1"/>
  <c r="S27" i="1"/>
  <c r="T38" i="1" s="1"/>
  <c r="S29" i="1"/>
  <c r="U40" i="1" s="1"/>
  <c r="S26" i="1"/>
  <c r="W37" i="1" s="1"/>
  <c r="AC18" i="1"/>
  <c r="AB18" i="1"/>
  <c r="Q48" i="1"/>
  <c r="O48" i="1"/>
  <c r="M48" i="1"/>
  <c r="P48" i="1"/>
  <c r="N48" i="1"/>
  <c r="R32" i="1"/>
  <c r="R37" i="1"/>
  <c r="R34" i="1"/>
  <c r="S22" i="1"/>
  <c r="S21" i="1"/>
  <c r="S32" i="1" s="1"/>
  <c r="S23" i="1"/>
  <c r="T34" i="1" s="1"/>
  <c r="S24" i="1"/>
  <c r="X35" i="1" s="1"/>
  <c r="R40" i="1"/>
  <c r="P46" i="1"/>
  <c r="Q46" i="1"/>
  <c r="N46" i="1"/>
  <c r="O46" i="1"/>
  <c r="M46" i="1"/>
  <c r="R35" i="1"/>
  <c r="M44" i="1"/>
  <c r="P44" i="1"/>
  <c r="Q44" i="1"/>
  <c r="N44" i="1"/>
  <c r="O44" i="1"/>
  <c r="M51" i="1"/>
  <c r="P51" i="1"/>
  <c r="Q51" i="1"/>
  <c r="N51" i="1"/>
  <c r="O51" i="1"/>
  <c r="W38" i="1"/>
  <c r="S34" i="1"/>
  <c r="W33" i="1"/>
  <c r="R33" i="1"/>
  <c r="S38" i="1"/>
  <c r="V33" i="1"/>
  <c r="P50" i="1"/>
  <c r="C18" i="4"/>
  <c r="E18" i="4"/>
  <c r="D18" i="4"/>
  <c r="B18" i="4"/>
  <c r="A19" i="4"/>
  <c r="T37" i="1" l="1"/>
  <c r="V37" i="1"/>
  <c r="W40" i="1"/>
  <c r="V32" i="1"/>
  <c r="T32" i="1"/>
  <c r="W35" i="1"/>
  <c r="X46" i="1" s="1"/>
  <c r="S39" i="1"/>
  <c r="V39" i="1"/>
  <c r="W39" i="1"/>
  <c r="W50" i="1" s="1"/>
  <c r="T39" i="1"/>
  <c r="U39" i="1"/>
  <c r="S35" i="1"/>
  <c r="X40" i="1"/>
  <c r="Z51" i="1" s="1"/>
  <c r="T40" i="1"/>
  <c r="V40" i="1"/>
  <c r="S40" i="1"/>
  <c r="X32" i="1"/>
  <c r="U32" i="1"/>
  <c r="T35" i="1"/>
  <c r="W32" i="1"/>
  <c r="X38" i="1"/>
  <c r="Y49" i="1" s="1"/>
  <c r="U38" i="1"/>
  <c r="Y46" i="1"/>
  <c r="AA46" i="1"/>
  <c r="X37" i="1"/>
  <c r="Y48" i="1" s="1"/>
  <c r="S37" i="1"/>
  <c r="X34" i="1"/>
  <c r="U34" i="1"/>
  <c r="V34" i="1"/>
  <c r="AA51" i="1"/>
  <c r="X51" i="1"/>
  <c r="W51" i="1"/>
  <c r="U35" i="1"/>
  <c r="V35" i="1"/>
  <c r="X33" i="1"/>
  <c r="Y44" i="1" s="1"/>
  <c r="U33" i="1"/>
  <c r="T33" i="1"/>
  <c r="S33" i="1"/>
  <c r="W34" i="1"/>
  <c r="U37" i="1"/>
  <c r="V38" i="1"/>
  <c r="D19" i="4"/>
  <c r="E19" i="4"/>
  <c r="C19" i="4"/>
  <c r="B19" i="4"/>
  <c r="A20" i="4"/>
  <c r="Y51" i="1" l="1"/>
  <c r="T43" i="1"/>
  <c r="R51" i="1"/>
  <c r="W49" i="1"/>
  <c r="T50" i="1"/>
  <c r="V50" i="1"/>
  <c r="W46" i="1"/>
  <c r="Z46" i="1"/>
  <c r="U48" i="1"/>
  <c r="V46" i="1"/>
  <c r="V45" i="1"/>
  <c r="Y50" i="1"/>
  <c r="X50" i="1"/>
  <c r="Z50" i="1"/>
  <c r="U51" i="1"/>
  <c r="R44" i="1"/>
  <c r="AA50" i="1"/>
  <c r="S44" i="1"/>
  <c r="T48" i="1"/>
  <c r="S49" i="1"/>
  <c r="T46" i="1"/>
  <c r="U43" i="1"/>
  <c r="AA48" i="1"/>
  <c r="V44" i="1"/>
  <c r="R46" i="1"/>
  <c r="S45" i="1"/>
  <c r="V51" i="1"/>
  <c r="AA49" i="1"/>
  <c r="S50" i="1"/>
  <c r="R50" i="1"/>
  <c r="U50" i="1"/>
  <c r="T45" i="1"/>
  <c r="S48" i="1"/>
  <c r="R49" i="1"/>
  <c r="R45" i="1"/>
  <c r="X48" i="1"/>
  <c r="AA44" i="1"/>
  <c r="AA43" i="1"/>
  <c r="X43" i="1"/>
  <c r="Z43" i="1"/>
  <c r="W43" i="1"/>
  <c r="Y43" i="1"/>
  <c r="U45" i="1"/>
  <c r="S51" i="1"/>
  <c r="U46" i="1"/>
  <c r="S46" i="1"/>
  <c r="R43" i="1"/>
  <c r="Z49" i="1"/>
  <c r="T49" i="1"/>
  <c r="W48" i="1"/>
  <c r="Z45" i="1"/>
  <c r="X45" i="1"/>
  <c r="Y45" i="1"/>
  <c r="W45" i="1"/>
  <c r="AA45" i="1"/>
  <c r="X44" i="1"/>
  <c r="W44" i="1"/>
  <c r="U44" i="1"/>
  <c r="U49" i="1"/>
  <c r="V43" i="1"/>
  <c r="X49" i="1"/>
  <c r="V48" i="1"/>
  <c r="Z44" i="1"/>
  <c r="T44" i="1"/>
  <c r="R48" i="1"/>
  <c r="V49" i="1"/>
  <c r="T51" i="1"/>
  <c r="S43" i="1"/>
  <c r="Z48" i="1"/>
  <c r="E20" i="4"/>
  <c r="D20" i="4"/>
  <c r="C20" i="4"/>
  <c r="B20" i="4"/>
  <c r="A21" i="4"/>
  <c r="E21" i="4" l="1"/>
  <c r="D21" i="4"/>
  <c r="A22" i="4"/>
  <c r="C21" i="4"/>
  <c r="B21" i="4"/>
  <c r="C22" i="4" l="1"/>
  <c r="D22" i="4"/>
  <c r="E22" i="4"/>
  <c r="B22" i="4"/>
  <c r="A23" i="4"/>
  <c r="D23" i="4" l="1"/>
  <c r="C23" i="4"/>
  <c r="B23" i="4"/>
  <c r="E23" i="4"/>
  <c r="A24" i="4"/>
  <c r="E24" i="4" l="1"/>
  <c r="D24" i="4"/>
  <c r="B24" i="4"/>
  <c r="C24" i="4"/>
  <c r="A25" i="4"/>
  <c r="B25" i="4" l="1"/>
  <c r="E25" i="4"/>
  <c r="C25" i="4"/>
  <c r="D25" i="4"/>
  <c r="A26" i="4"/>
  <c r="C26" i="4" l="1"/>
  <c r="A27" i="4"/>
  <c r="D26" i="4"/>
  <c r="B26" i="4"/>
  <c r="E26" i="4"/>
  <c r="D27" i="4" l="1"/>
  <c r="C27" i="4"/>
  <c r="B27" i="4"/>
  <c r="E27" i="4"/>
  <c r="A28" i="4"/>
  <c r="E28" i="4" l="1"/>
  <c r="D28" i="4"/>
  <c r="B28" i="4"/>
  <c r="C28" i="4"/>
  <c r="A29" i="4"/>
  <c r="B29" i="4" l="1"/>
  <c r="E29" i="4"/>
  <c r="C29" i="4"/>
  <c r="D29" i="4"/>
  <c r="A30" i="4"/>
  <c r="C30" i="4" l="1"/>
  <c r="D30" i="4"/>
  <c r="E30" i="4"/>
  <c r="B30" i="4"/>
  <c r="A31" i="4"/>
  <c r="D31" i="4" l="1"/>
  <c r="C31" i="4"/>
  <c r="E31" i="4"/>
  <c r="B31" i="4"/>
  <c r="A32" i="4"/>
  <c r="A33" i="4" s="1"/>
  <c r="E33" i="4" l="1"/>
  <c r="B33" i="4"/>
  <c r="A34" i="4"/>
  <c r="C33" i="4"/>
  <c r="D33" i="4"/>
  <c r="E32" i="4"/>
  <c r="D32" i="4"/>
  <c r="B32" i="4"/>
  <c r="C32" i="4"/>
  <c r="A35" i="4" l="1"/>
  <c r="C34" i="4"/>
  <c r="E34" i="4"/>
  <c r="D34" i="4"/>
  <c r="B34" i="4"/>
  <c r="C35" i="4" l="1"/>
  <c r="B35" i="4"/>
  <c r="E35" i="4"/>
  <c r="D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author>
  </authors>
  <commentList>
    <comment ref="C7" authorId="0" shapeId="0" xr:uid="{00000000-0006-0000-0000-000001000000}">
      <text>
        <r>
          <rPr>
            <b/>
            <sz val="9"/>
            <color indexed="81"/>
            <rFont val="Tahoma"/>
            <family val="2"/>
          </rPr>
          <t>Chris:</t>
        </r>
        <r>
          <rPr>
            <sz val="9"/>
            <color indexed="81"/>
            <rFont val="Tahoma"/>
            <family val="2"/>
          </rPr>
          <t xml:space="preserve">
It is widely understood that natural enemies continue to increase as SBW populations build, peak, and decline. 
Therefore we would expect reduced defoliation per L2 over th course of the outbreak.
Estimates of fir defoliation per 50 L2 / m2 of foliage:
• 52%         [CFS - Dorais and Kettela (1992); based on early 1970s population data]
• 30%         [Ostaff and MacLean (1989) for Cape Breton measured during the late 1970s and early 1980s]
• 26-38%     [NBDNR relationships collected operationally from 1986-1991]
Dorais and Kettela observations come from the beginning of the outbreak, so that is probably why the defoliation levels are higher per L2. 
Based on these observations we assumed a % defoliation per L2 ratio of 1 at the beginning, 0.8 at the peak, and 0.6 at the end of the outbreak.
Declines in this ratio begin when L2 &gt; 20/m2 and a constrained to remain above 0.6.</t>
        </r>
        <r>
          <rPr>
            <b/>
            <sz val="9"/>
            <color indexed="81"/>
            <rFont val="Tahoma"/>
            <family val="2"/>
          </rPr>
          <t xml:space="preserve">
</t>
        </r>
        <r>
          <rPr>
            <sz val="9"/>
            <color indexed="81"/>
            <rFont val="Tahoma"/>
            <family val="2"/>
          </rPr>
          <t xml:space="preserve">
</t>
        </r>
      </text>
    </comment>
    <comment ref="C9" authorId="0" shapeId="0" xr:uid="{00000000-0006-0000-0000-000002000000}">
      <text>
        <r>
          <rPr>
            <b/>
            <sz val="9"/>
            <color indexed="81"/>
            <rFont val="Tahoma"/>
            <family val="2"/>
          </rPr>
          <t xml:space="preserve">Chris:
</t>
        </r>
        <r>
          <rPr>
            <sz val="9"/>
            <color indexed="81"/>
            <rFont val="Tahoma"/>
            <family val="2"/>
          </rPr>
          <t>L2 population estimates for the severe outbreak scenario were increased from 125 L2/m2 to 279, 322, and 225 L2/m2 during three consecutive 100% defoliation years, to more closely match average peak populations from which the original severe defoliation scenario was derived (Ostaff and MacLean 1989</t>
        </r>
        <r>
          <rPr>
            <b/>
            <sz val="9"/>
            <color indexed="81"/>
            <rFont val="Tahoma"/>
            <family val="2"/>
          </rPr>
          <t xml:space="preserve">
Dave:</t>
        </r>
        <r>
          <rPr>
            <sz val="9"/>
            <color indexed="81"/>
            <rFont val="Tahoma"/>
            <family val="2"/>
          </rPr>
          <t xml:space="preserve">
Data on peak L2/m2 data from NB:
1) Royama et al. 2017 (Ecol. Monogr.) Figs. 2-3 report detailed data over 14 years, but just from 3 plots, 2 near F’ton and 1 in northern NB. They report # SBW individuals/m2 and they hit peaks of ~800, 200, &amp; 300/m2. They concluded that SBW  trends in those plots were similar to those in regions of NB.
2) Royama et al. 2005 (Ecology) has lots of data by zone in NB but it’s all reported as egg masses/10 m2. They indicate that the conversion is log(eggs) = -0.125 + log (L2). You could do some back-conversions on their graphed data. They show peak L3-4 of about 100/m2. The data from 1985 on are actually all L2, but are converted into egg masses to match their earlier data.
3) MacLean et al. 1996 (For. Chron) was for just one plot, but reported L6 of 150-400/m2 every year from 1981-1985 (peak year). There may have been a strong effect of parasitoids in that plot (I.e., less defoliation per L6 than in the early part of an outbreak, because they were sick?), but the relationship between defoliation and L6 in that plot was quite a bit lower than what you are assuming for L2 vs defol:  Defol. = 0.5575*L6/m2 – 0.0008 * (L6/m2)2
So it’s quite variable, but I’d be OK with going with peak L2 of 225/m2 as assumed up until now.
</t>
        </r>
      </text>
    </comment>
    <comment ref="C12" authorId="0" shapeId="0" xr:uid="{00000000-0006-0000-0000-000003000000}">
      <text>
        <r>
          <rPr>
            <b/>
            <sz val="9"/>
            <color indexed="81"/>
            <rFont val="Tahoma"/>
            <family val="2"/>
          </rPr>
          <t>Eric:</t>
        </r>
        <r>
          <rPr>
            <sz val="9"/>
            <color indexed="81"/>
            <rFont val="Tahoma"/>
            <family val="2"/>
          </rPr>
          <t xml:space="preserve">
Régnière et al. (1989) was used to covert L2/m2 to L2/branch (P270). 
According to this research, on average, the 45-cm BF branch tips measured 0.135 m2. 
So 1 L2/branch would equal to 7.4 L2/m2. (i.e., 1 L2/branch =  1 L2/0.135m2 = 1000/135 L2/m2 = 7.4 L2/m2). 
</t>
        </r>
        <r>
          <rPr>
            <b/>
            <sz val="9"/>
            <color indexed="81"/>
            <rFont val="Tahoma"/>
            <family val="2"/>
          </rPr>
          <t>Dave:</t>
        </r>
        <r>
          <rPr>
            <sz val="9"/>
            <color indexed="81"/>
            <rFont val="Tahoma"/>
            <family val="2"/>
          </rPr>
          <t xml:space="preserve">
Based on SOPFIM classes, the conversion equates to 4.7, 6, or 4.9 branches per m2. I find it easier to visualize L2/branch than per m2 or 10 m2.
</t>
        </r>
      </text>
    </comment>
    <comment ref="C16" authorId="0" shapeId="0" xr:uid="{00000000-0006-0000-0000-000004000000}">
      <text>
        <r>
          <rPr>
            <b/>
            <sz val="9"/>
            <color indexed="81"/>
            <rFont val="Tahoma"/>
            <family val="2"/>
          </rPr>
          <t>Chris:</t>
        </r>
        <r>
          <rPr>
            <sz val="9"/>
            <color indexed="81"/>
            <rFont val="Tahoma"/>
            <family val="2"/>
          </rPr>
          <t xml:space="preserve">
To account for effects of hardwood, based on interpretations from Su et al. (1996) and results presented in Bo Zhang's PhD work, these moderate and severe L2 forecasts were multiplied by the stand softwood ratio during simulation; e.g., 40% softwood would reduce L2 levels and resulting defoliation by 40%.</t>
        </r>
      </text>
    </comment>
    <comment ref="L16" authorId="0" shapeId="0" xr:uid="{00000000-0006-0000-0000-000005000000}">
      <text>
        <r>
          <rPr>
            <b/>
            <sz val="9"/>
            <color indexed="81"/>
            <rFont val="Tahoma"/>
            <family val="2"/>
          </rPr>
          <t xml:space="preserve">Foliage protection efficacy assumption. Set to 0% for no protection.
</t>
        </r>
        <r>
          <rPr>
            <sz val="9"/>
            <color indexed="81"/>
            <rFont val="Tahoma"/>
            <family val="2"/>
          </rPr>
          <t xml:space="preserve">In earlier analyses, we assumed that defoliation was being reduced to 40% current defoliation by treatment, not by 40%. On average, throughout the outbreak this may be the case, but when populations are very large we would expect less protection effect on defoliation; e.g. killing 50% of budworm when there are 300 L2/m2 will still leave enough L4-L6 to result in 100% defoliation of fir; likewise, when populations are low, protection will result in less than 40% defoliation. So a percent population reduction multiplier may be more realistic. 
Based on evidence from Fleming and Frankenhuyzen (1992) and Régnière and Cooke  (1998) a single application of Bt at 20-30 BUI will result in about a 40% reduction in population levels and resulting defoliation; and possibly up to 50% with double applications. Mimic may be closer to generating a 50% reduction (reference needed). These data and efficacy models were generated at the end of the previous outbreak. 
We would anticipate some operational and </t>
        </r>
        <r>
          <rPr>
            <i/>
            <sz val="9"/>
            <color indexed="81"/>
            <rFont val="Tahoma"/>
            <family val="2"/>
          </rPr>
          <t>Bt</t>
        </r>
        <r>
          <rPr>
            <sz val="9"/>
            <color indexed="81"/>
            <rFont val="Tahoma"/>
            <family val="2"/>
          </rPr>
          <t xml:space="preserve"> product improvements over the past 30 years, so an efficacy rate of 50% using today's technologies ought to be a conservative estimate.
  </t>
        </r>
      </text>
    </comment>
    <comment ref="C19" authorId="0" shapeId="0" xr:uid="{00000000-0006-0000-0000-000006000000}">
      <text>
        <r>
          <rPr>
            <b/>
            <sz val="9"/>
            <color indexed="81"/>
            <rFont val="Tahoma"/>
            <family val="2"/>
          </rPr>
          <t>Chris:</t>
        </r>
        <r>
          <rPr>
            <sz val="9"/>
            <color indexed="81"/>
            <rFont val="Tahoma"/>
            <family val="2"/>
          </rPr>
          <t xml:space="preserve">
See Host Defol-L2 worksheet for assumptions regarding reduced host defoliation on each spruce species. These assumptions were modified from Hennigar et al. 2008 to reduce relative host defoliation difference as L2/m2 increased above 70. This reduction in relative differences is meant to capture increasing likelihood of budworm switching hosts due to lack of food and space on preferred hosts in peak outbreak conditions.
A logistic growth curve was manually fit to approximate Hennigar et al. 2008 at low-moderate levels of bF defoliation (L2/m2&lt;70) and yield increasing rates of wS, rS, and bS defoliation relative to fir for moderate to severe populations. Maximum defoliation was capped at 100% for wS, 90% for rS, and 80% for bS based on comments, observations from Dave below.
</t>
        </r>
        <r>
          <rPr>
            <b/>
            <sz val="9"/>
            <color indexed="81"/>
            <rFont val="Tahoma"/>
            <family val="2"/>
          </rPr>
          <t>Dave:</t>
        </r>
        <r>
          <rPr>
            <sz val="9"/>
            <color indexed="81"/>
            <rFont val="Tahoma"/>
            <family val="2"/>
          </rPr>
          <t xml:space="preserve">
The max. BS defoliation I could find was about 80% (Bognounou et al. 2017; while BF defol. went to 100%) in the QC North Shore, and 65% in Black Sturgeon Lake in ON (Nealis &amp; Régnière 2004). I think I’d have BS defol. max out at 70 or 80%, and put RS max. mid-way between that of WS and BS.</t>
        </r>
      </text>
    </comment>
  </commentList>
</comments>
</file>

<file path=xl/sharedStrings.xml><?xml version="1.0" encoding="utf-8"?>
<sst xmlns="http://schemas.openxmlformats.org/spreadsheetml/2006/main" count="103" uniqueCount="50">
  <si>
    <t>Severe</t>
  </si>
  <si>
    <t>Moderate</t>
  </si>
  <si>
    <t>Outbreak Year</t>
  </si>
  <si>
    <t xml:space="preserve">Outbreak </t>
  </si>
  <si>
    <t>bF</t>
  </si>
  <si>
    <t>wS</t>
  </si>
  <si>
    <t>rS</t>
  </si>
  <si>
    <t>bS</t>
  </si>
  <si>
    <t>Hardwood</t>
  </si>
  <si>
    <t>Host current-year foliage % defoliation</t>
  </si>
  <si>
    <r>
      <t>Population (L2/m</t>
    </r>
    <r>
      <rPr>
        <i/>
        <vertAlign val="superscript"/>
        <sz val="11"/>
        <color theme="1"/>
        <rFont val="Calibri"/>
        <family val="2"/>
        <scheme val="minor"/>
      </rPr>
      <t>2</t>
    </r>
    <r>
      <rPr>
        <i/>
        <sz val="11"/>
        <color theme="1"/>
        <rFont val="Calibri"/>
        <family val="2"/>
        <scheme val="minor"/>
      </rPr>
      <t>) adjusted for hardwood and foliage protection effects</t>
    </r>
  </si>
  <si>
    <r>
      <t>Fir current-year defoliation (%) : population (L2/m</t>
    </r>
    <r>
      <rPr>
        <i/>
        <vertAlign val="superscript"/>
        <sz val="11"/>
        <color theme="1"/>
        <rFont val="Calibri"/>
        <family val="2"/>
        <scheme val="minor"/>
      </rPr>
      <t>2</t>
    </r>
    <r>
      <rPr>
        <i/>
        <sz val="11"/>
        <color theme="1"/>
        <rFont val="Calibri"/>
        <family val="2"/>
        <scheme val="minor"/>
      </rPr>
      <t>) conversion ratio</t>
    </r>
  </si>
  <si>
    <t>Population (L2 per 45cm branch)</t>
  </si>
  <si>
    <r>
      <t>Population (L2/m</t>
    </r>
    <r>
      <rPr>
        <i/>
        <vertAlign val="superscript"/>
        <sz val="11"/>
        <color theme="1"/>
        <rFont val="Calibri"/>
        <family val="2"/>
        <scheme val="minor"/>
      </rPr>
      <t>2</t>
    </r>
    <r>
      <rPr>
        <i/>
        <sz val="11"/>
        <color theme="1"/>
        <rFont val="Calibri"/>
        <family val="2"/>
        <scheme val="minor"/>
      </rPr>
      <t>) - reconstructed from MacLean 2001 with peak year adjustments (red) based on past outbreak observations</t>
    </r>
  </si>
  <si>
    <t>L2</t>
  </si>
  <si>
    <t>Fir current-year defoliation (%) from MacLean et al. (2001)</t>
  </si>
  <si>
    <t>Assuming 100 L2/m2 = 100% fir defoliation (beginning of outbreak)</t>
  </si>
  <si>
    <t>Host resulting defoliation (%)</t>
  </si>
  <si>
    <t>x0</t>
  </si>
  <si>
    <t>k</t>
  </si>
  <si>
    <t>L</t>
  </si>
  <si>
    <t>Logistic growth curve parameters</t>
  </si>
  <si>
    <t>Hennigar et al. 2008</t>
  </si>
  <si>
    <t xml:space="preserve">Logistic model </t>
  </si>
  <si>
    <t xml:space="preserve">  when L2  &gt;</t>
  </si>
  <si>
    <t xml:space="preserve">       Protect </t>
  </si>
  <si>
    <t>no</t>
  </si>
  <si>
    <t>yes</t>
  </si>
  <si>
    <t xml:space="preserve">  delay yrs =</t>
  </si>
  <si>
    <t xml:space="preserve">  lock yrs =</t>
  </si>
  <si>
    <t>&lt;-- You can adjust these values</t>
  </si>
  <si>
    <t>efficacy =</t>
  </si>
  <si>
    <t>Sum</t>
  </si>
  <si>
    <t>Max</t>
  </si>
  <si>
    <t>BF</t>
  </si>
  <si>
    <t>DBH (cm)</t>
  </si>
  <si>
    <t>Host</t>
  </si>
  <si>
    <t>Lower</t>
  </si>
  <si>
    <t>Upper</t>
  </si>
  <si>
    <t>5-Year Periodic Additive Mortality Rate (%)</t>
  </si>
  <si>
    <t>WS</t>
  </si>
  <si>
    <t>RS</t>
  </si>
  <si>
    <t>BS</t>
  </si>
  <si>
    <t>Diameter Growth Multiplier (%)</t>
  </si>
  <si>
    <t>All</t>
  </si>
  <si>
    <r>
      <t xml:space="preserve">Whole tree mean periodic host % defoliation (cumulative defoliation in MacLean </t>
    </r>
    <r>
      <rPr>
        <b/>
        <i/>
        <sz val="10"/>
        <color rgb="FFFFFFFF"/>
        <rFont val="Times New Roman"/>
        <family val="1"/>
      </rPr>
      <t>et al.</t>
    </r>
    <r>
      <rPr>
        <b/>
        <sz val="10"/>
        <color rgb="FFFFFFFF"/>
        <rFont val="Times New Roman"/>
        <family val="1"/>
      </rPr>
      <t xml:space="preserve"> 2001)</t>
    </r>
  </si>
  <si>
    <t>Whole-tree host % defoliation (using cumulative defoliation calculation from MacLean et al. 2001)</t>
  </si>
  <si>
    <t>Whole tree mean periodic host % defoliation (5 year average) used as input to SBWDSS. Periodic average defoliation is not used in the OSM SBW extension.</t>
  </si>
  <si>
    <t>Period 1 in DSS SIMPACT</t>
  </si>
  <si>
    <t>Period 2 in DSS SIMPACT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</si>
</sst>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9"/>
      <color indexed="81"/>
      <name val="Tahoma"/>
      <family val="2"/>
    </font>
    <font>
      <b/>
      <sz val="9"/>
      <color indexed="81"/>
      <name val="Tahoma"/>
      <family val="2"/>
    </font>
    <font>
      <i/>
      <sz val="11"/>
      <color theme="1"/>
      <name val="Calibri"/>
      <family val="2"/>
      <scheme val="minor"/>
    </font>
    <font>
      <b/>
      <sz val="11"/>
      <color rgb="FF0070C0"/>
      <name val="Calibri"/>
      <family val="2"/>
      <scheme val="minor"/>
    </font>
    <font>
      <b/>
      <sz val="11"/>
      <color theme="9" tint="-0.499984740745262"/>
      <name val="Calibri"/>
      <family val="2"/>
      <scheme val="minor"/>
    </font>
    <font>
      <i/>
      <vertAlign val="superscript"/>
      <sz val="11"/>
      <color theme="1"/>
      <name val="Calibri"/>
      <family val="2"/>
      <scheme val="minor"/>
    </font>
    <font>
      <i/>
      <sz val="9"/>
      <color indexed="81"/>
      <name val="Tahoma"/>
      <family val="2"/>
    </font>
    <font>
      <sz val="11"/>
      <color theme="4" tint="-0.499984740745262"/>
      <name val="Calibri"/>
      <family val="2"/>
      <scheme val="minor"/>
    </font>
    <font>
      <b/>
      <sz val="11"/>
      <color theme="4" tint="-0.499984740745262"/>
      <name val="Calibri"/>
      <family val="2"/>
      <scheme val="minor"/>
    </font>
    <font>
      <sz val="11"/>
      <color rgb="FF7030A0"/>
      <name val="Calibri"/>
      <family val="2"/>
      <scheme val="minor"/>
    </font>
    <font>
      <sz val="11"/>
      <color rgb="FFC00000"/>
      <name val="Calibri"/>
      <family val="2"/>
      <scheme val="minor"/>
    </font>
    <font>
      <sz val="11"/>
      <color theme="9" tint="-0.499984740745262"/>
      <name val="Calibri"/>
      <family val="2"/>
      <scheme val="minor"/>
    </font>
    <font>
      <sz val="11"/>
      <color rgb="FF0070C0"/>
      <name val="Calibri"/>
      <family val="2"/>
      <scheme val="minor"/>
    </font>
    <font>
      <b/>
      <sz val="10"/>
      <color rgb="FFFFFFFF"/>
      <name val="Times New Roman"/>
      <family val="1"/>
    </font>
    <font>
      <b/>
      <i/>
      <sz val="10"/>
      <color rgb="FFFFFFFF"/>
      <name val="Times New Roman"/>
      <family val="1"/>
    </font>
    <font>
      <i/>
      <sz val="10"/>
      <color rgb="FF000000"/>
      <name val="Times New Roman"/>
      <family val="1"/>
    </font>
    <font>
      <sz val="10"/>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000000"/>
        <bgColor indexed="64"/>
      </patternFill>
    </fill>
    <fill>
      <patternFill patternType="solid">
        <fgColor rgb="FFF2F2F2"/>
        <bgColor indexed="64"/>
      </patternFill>
    </fill>
  </fills>
  <borders count="1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75">
    <xf numFmtId="0" fontId="0" fillId="0" borderId="0" xfId="0"/>
    <xf numFmtId="0" fontId="3" fillId="0" borderId="0" xfId="0" applyFont="1"/>
    <xf numFmtId="165" fontId="0" fillId="0" borderId="0" xfId="1" applyNumberFormat="1" applyFont="1"/>
    <xf numFmtId="0" fontId="0" fillId="2" borderId="0" xfId="0" applyFill="1" applyBorder="1"/>
    <xf numFmtId="0" fontId="0" fillId="0" borderId="0" xfId="0" applyFill="1"/>
    <xf numFmtId="0" fontId="0" fillId="0" borderId="1" xfId="0" applyFill="1" applyBorder="1"/>
    <xf numFmtId="0" fontId="0" fillId="2" borderId="0" xfId="0" applyFill="1"/>
    <xf numFmtId="0" fontId="0" fillId="2" borderId="0" xfId="0" applyFill="1" applyBorder="1" applyAlignment="1">
      <alignment vertical="center" wrapText="1"/>
    </xf>
    <xf numFmtId="0" fontId="0" fillId="2" borderId="1" xfId="0" applyFill="1" applyBorder="1"/>
    <xf numFmtId="0" fontId="0" fillId="2" borderId="1" xfId="0" applyFill="1" applyBorder="1" applyAlignment="1">
      <alignment vertical="center" wrapText="1"/>
    </xf>
    <xf numFmtId="0" fontId="3" fillId="2" borderId="0" xfId="0" applyFont="1" applyFill="1" applyBorder="1"/>
    <xf numFmtId="0" fontId="3" fillId="2" borderId="2" xfId="0" applyFont="1" applyFill="1" applyBorder="1"/>
    <xf numFmtId="0" fontId="0" fillId="2" borderId="2" xfId="0" applyFill="1" applyBorder="1"/>
    <xf numFmtId="0" fontId="3" fillId="2" borderId="2" xfId="0" applyFont="1" applyFill="1" applyBorder="1" applyAlignment="1">
      <alignment vertical="center" wrapText="1"/>
    </xf>
    <xf numFmtId="1" fontId="0" fillId="2" borderId="0" xfId="0" applyNumberFormat="1" applyFill="1"/>
    <xf numFmtId="2" fontId="0" fillId="2" borderId="0" xfId="0" applyNumberFormat="1" applyFill="1" applyBorder="1" applyAlignment="1">
      <alignment vertical="center" wrapText="1"/>
    </xf>
    <xf numFmtId="2" fontId="0" fillId="2" borderId="0" xfId="0" applyNumberFormat="1" applyFill="1"/>
    <xf numFmtId="1" fontId="0" fillId="2" borderId="0" xfId="1" applyNumberFormat="1" applyFont="1" applyFill="1"/>
    <xf numFmtId="1" fontId="2" fillId="2" borderId="0" xfId="1" applyNumberFormat="1" applyFont="1" applyFill="1"/>
    <xf numFmtId="165" fontId="0" fillId="2" borderId="0" xfId="1" applyNumberFormat="1" applyFont="1" applyFill="1"/>
    <xf numFmtId="0" fontId="7" fillId="2" borderId="2" xfId="0" applyFont="1" applyFill="1" applyBorder="1"/>
    <xf numFmtId="0" fontId="7" fillId="2" borderId="3" xfId="0" applyFont="1" applyFill="1" applyBorder="1"/>
    <xf numFmtId="0" fontId="0" fillId="2" borderId="3" xfId="0" applyFill="1" applyBorder="1" applyAlignment="1">
      <alignment vertical="center" wrapText="1"/>
    </xf>
    <xf numFmtId="0" fontId="8" fillId="2" borderId="4" xfId="0" applyFont="1" applyFill="1" applyBorder="1"/>
    <xf numFmtId="0" fontId="0" fillId="0" borderId="0" xfId="0"/>
    <xf numFmtId="0" fontId="0" fillId="2" borderId="0" xfId="0" applyFill="1"/>
    <xf numFmtId="0" fontId="4" fillId="2" borderId="0" xfId="0" applyFont="1" applyFill="1" applyBorder="1"/>
    <xf numFmtId="0" fontId="0" fillId="2" borderId="4" xfId="0" applyFill="1" applyBorder="1"/>
    <xf numFmtId="0" fontId="0" fillId="2" borderId="4" xfId="0" applyFont="1" applyFill="1" applyBorder="1"/>
    <xf numFmtId="0" fontId="3" fillId="0" borderId="2" xfId="0" applyFont="1" applyBorder="1"/>
    <xf numFmtId="0" fontId="0" fillId="0" borderId="2" xfId="0" applyBorder="1"/>
    <xf numFmtId="165" fontId="3" fillId="0" borderId="0" xfId="1" applyNumberFormat="1" applyFont="1"/>
    <xf numFmtId="165" fontId="12" fillId="0" borderId="0" xfId="1" applyNumberFormat="1" applyFont="1"/>
    <xf numFmtId="0" fontId="12" fillId="0" borderId="0" xfId="0" applyFont="1"/>
    <xf numFmtId="165" fontId="13" fillId="0" borderId="0" xfId="1" applyNumberFormat="1" applyFont="1"/>
    <xf numFmtId="165" fontId="14" fillId="0" borderId="0" xfId="1" applyNumberFormat="1" applyFont="1"/>
    <xf numFmtId="165" fontId="15" fillId="0" borderId="0" xfId="1" applyNumberFormat="1" applyFont="1"/>
    <xf numFmtId="164" fontId="0" fillId="2" borderId="0" xfId="1" applyNumberFormat="1" applyFont="1" applyFill="1"/>
    <xf numFmtId="164" fontId="0" fillId="2" borderId="0" xfId="1" applyNumberFormat="1" applyFont="1" applyFill="1" applyBorder="1"/>
    <xf numFmtId="164" fontId="7" fillId="2" borderId="2" xfId="1" applyNumberFormat="1" applyFont="1" applyFill="1" applyBorder="1"/>
    <xf numFmtId="164" fontId="0" fillId="2" borderId="2" xfId="1" applyNumberFormat="1" applyFont="1" applyFill="1" applyBorder="1"/>
    <xf numFmtId="164" fontId="0" fillId="2" borderId="6" xfId="1" applyNumberFormat="1" applyFont="1" applyFill="1" applyBorder="1"/>
    <xf numFmtId="164" fontId="0" fillId="2" borderId="7" xfId="1" applyNumberFormat="1" applyFont="1" applyFill="1" applyBorder="1"/>
    <xf numFmtId="164" fontId="0" fillId="2" borderId="1" xfId="1" applyNumberFormat="1" applyFont="1" applyFill="1" applyBorder="1"/>
    <xf numFmtId="164" fontId="0" fillId="2" borderId="8" xfId="1" applyNumberFormat="1" applyFont="1" applyFill="1" applyBorder="1"/>
    <xf numFmtId="0" fontId="17" fillId="2" borderId="4" xfId="0" applyFont="1" applyFill="1" applyBorder="1"/>
    <xf numFmtId="0" fontId="9" fillId="3" borderId="4" xfId="0" applyFont="1" applyFill="1" applyBorder="1" applyAlignment="1">
      <alignment horizontal="center"/>
    </xf>
    <xf numFmtId="165" fontId="9" fillId="3" borderId="4" xfId="1" applyNumberFormat="1" applyFont="1" applyFill="1" applyBorder="1" applyAlignment="1">
      <alignment horizontal="center"/>
    </xf>
    <xf numFmtId="165" fontId="9" fillId="3" borderId="4" xfId="1" applyNumberFormat="1" applyFont="1" applyFill="1" applyBorder="1" applyAlignment="1"/>
    <xf numFmtId="9" fontId="9" fillId="3" borderId="4" xfId="0" applyNumberFormat="1" applyFont="1" applyFill="1" applyBorder="1" applyAlignment="1">
      <alignment horizontal="center"/>
    </xf>
    <xf numFmtId="9" fontId="8" fillId="3" borderId="4" xfId="0" applyNumberFormat="1" applyFont="1" applyFill="1" applyBorder="1" applyAlignment="1">
      <alignment horizontal="center"/>
    </xf>
    <xf numFmtId="164" fontId="0" fillId="2" borderId="2" xfId="0" applyNumberFormat="1" applyFill="1" applyBorder="1"/>
    <xf numFmtId="165" fontId="0" fillId="0" borderId="0" xfId="0" applyNumberFormat="1" applyFill="1"/>
    <xf numFmtId="0" fontId="18" fillId="5" borderId="9" xfId="0" applyFont="1" applyFill="1" applyBorder="1" applyAlignment="1">
      <alignment vertical="center"/>
    </xf>
    <xf numFmtId="0" fontId="0" fillId="5" borderId="0" xfId="0" applyFill="1"/>
    <xf numFmtId="0" fontId="18" fillId="5" borderId="0" xfId="0" applyFont="1" applyFill="1" applyAlignment="1">
      <alignment vertical="center"/>
    </xf>
    <xf numFmtId="0" fontId="18" fillId="5" borderId="0" xfId="0" applyFont="1" applyFill="1" applyAlignment="1">
      <alignment horizontal="right" vertical="center"/>
    </xf>
    <xf numFmtId="0" fontId="0" fillId="6" borderId="0" xfId="0" applyFill="1"/>
    <xf numFmtId="0" fontId="21" fillId="6" borderId="0" xfId="0" applyFont="1" applyFill="1" applyAlignment="1">
      <alignment vertical="center"/>
    </xf>
    <xf numFmtId="0" fontId="21" fillId="6" borderId="0" xfId="0" applyFont="1" applyFill="1" applyAlignment="1">
      <alignment horizontal="right" vertical="center"/>
    </xf>
    <xf numFmtId="9" fontId="21" fillId="6" borderId="0" xfId="0" applyNumberFormat="1" applyFont="1" applyFill="1" applyAlignment="1">
      <alignment horizontal="right" vertical="center"/>
    </xf>
    <xf numFmtId="0" fontId="21" fillId="6" borderId="1" xfId="0" applyFont="1" applyFill="1" applyBorder="1" applyAlignment="1">
      <alignment vertical="center"/>
    </xf>
    <xf numFmtId="0" fontId="21" fillId="6" borderId="1" xfId="0" applyFont="1" applyFill="1" applyBorder="1" applyAlignment="1">
      <alignment horizontal="right" vertical="center"/>
    </xf>
    <xf numFmtId="9" fontId="21" fillId="6" borderId="1" xfId="0" applyNumberFormat="1" applyFont="1" applyFill="1" applyBorder="1" applyAlignment="1">
      <alignment horizontal="right" vertical="center"/>
    </xf>
    <xf numFmtId="0" fontId="0" fillId="6" borderId="1" xfId="0" applyFill="1" applyBorder="1"/>
    <xf numFmtId="0" fontId="16" fillId="2" borderId="4" xfId="0" applyFont="1" applyFill="1" applyBorder="1" applyAlignment="1">
      <alignment horizontal="center"/>
    </xf>
    <xf numFmtId="0" fontId="2" fillId="2" borderId="4" xfId="0" applyFont="1" applyFill="1" applyBorder="1" applyAlignment="1">
      <alignment horizontal="center"/>
    </xf>
    <xf numFmtId="164" fontId="4" fillId="4" borderId="5" xfId="1" applyNumberFormat="1" applyFont="1" applyFill="1" applyBorder="1" applyAlignment="1">
      <alignment horizontal="center"/>
    </xf>
    <xf numFmtId="164" fontId="4" fillId="4" borderId="3" xfId="1" applyNumberFormat="1" applyFont="1" applyFill="1" applyBorder="1" applyAlignment="1">
      <alignment horizontal="center"/>
    </xf>
    <xf numFmtId="164" fontId="0" fillId="4" borderId="5" xfId="1" applyNumberFormat="1" applyFont="1" applyFill="1" applyBorder="1" applyAlignment="1">
      <alignment horizontal="center"/>
    </xf>
    <xf numFmtId="164" fontId="0" fillId="4" borderId="3" xfId="1" applyNumberFormat="1" applyFont="1" applyFill="1" applyBorder="1" applyAlignment="1">
      <alignment horizontal="center"/>
    </xf>
    <xf numFmtId="0" fontId="15" fillId="0" borderId="0" xfId="0" applyFont="1" applyAlignment="1">
      <alignment horizontal="center" vertical="center" textRotation="180"/>
    </xf>
    <xf numFmtId="0" fontId="14" fillId="0" borderId="0" xfId="0" applyFont="1" applyAlignment="1">
      <alignment horizontal="center" vertical="center" textRotation="180"/>
    </xf>
    <xf numFmtId="0" fontId="18" fillId="5" borderId="9" xfId="0" applyFont="1" applyFill="1" applyBorder="1" applyAlignment="1">
      <alignment horizontal="center" vertical="center"/>
    </xf>
    <xf numFmtId="0" fontId="20" fillId="6" borderId="1" xfId="0" applyFont="1" applyFill="1" applyBorder="1" applyAlignment="1">
      <alignment vertical="center"/>
    </xf>
  </cellXfs>
  <cellStyles count="3">
    <cellStyle name="Comma" xfId="1" builtinId="3"/>
    <cellStyle name="Comma 2" xfId="2" xr:uid="{00000000-0005-0000-0000-000001000000}"/>
    <cellStyle name="Normal" xfId="0" builtinId="0"/>
  </cellStyles>
  <dxfs count="1">
    <dxf>
      <font>
        <color auto="1"/>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CA"/>
              <a:t>L2 vs Defoliation</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manualLayout>
          <c:layoutTarget val="inner"/>
          <c:xMode val="edge"/>
          <c:yMode val="edge"/>
          <c:x val="0.16319438011425041"/>
          <c:y val="0.14631163708086786"/>
          <c:w val="0.72706345530338135"/>
          <c:h val="0.68229387007097486"/>
        </c:manualLayout>
      </c:layout>
      <c:scatterChart>
        <c:scatterStyle val="smoothMarker"/>
        <c:varyColors val="0"/>
        <c:ser>
          <c:idx val="0"/>
          <c:order val="0"/>
          <c:tx>
            <c:v>bF</c:v>
          </c:tx>
          <c:spPr>
            <a:ln w="22225" cap="rnd">
              <a:solidFill>
                <a:schemeClr val="accent1"/>
              </a:solid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xVal>
            <c:numRef>
              <c:f>'Host L2 --&gt; DEFOL relationship'!$A$5:$A$32</c:f>
              <c:numCache>
                <c:formatCode>General</c:formatCode>
                <c:ptCount val="28"/>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numCache>
            </c:numRef>
          </c:xVal>
          <c:yVal>
            <c:numRef>
              <c:f>'Host L2 --&gt; DEFOL relationship'!$B$5:$B$32</c:f>
              <c:numCache>
                <c:formatCode>_(* #,##0_);_(* \(#,##0\);_(* "-"??_);_(@_)</c:formatCode>
                <c:ptCount val="28"/>
                <c:pt idx="0">
                  <c:v>0</c:v>
                </c:pt>
                <c:pt idx="1">
                  <c:v>10</c:v>
                </c:pt>
                <c:pt idx="2">
                  <c:v>20</c:v>
                </c:pt>
                <c:pt idx="3">
                  <c:v>30</c:v>
                </c:pt>
                <c:pt idx="4">
                  <c:v>40</c:v>
                </c:pt>
                <c:pt idx="5">
                  <c:v>50</c:v>
                </c:pt>
                <c:pt idx="6">
                  <c:v>60</c:v>
                </c:pt>
                <c:pt idx="7">
                  <c:v>70</c:v>
                </c:pt>
                <c:pt idx="8">
                  <c:v>80</c:v>
                </c:pt>
                <c:pt idx="9">
                  <c:v>90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numCache>
            </c:numRef>
          </c:yVal>
          <c:smooth val="1"/>
          <c:extLst>
            <c:ext xmlns:c16="http://schemas.microsoft.com/office/drawing/2014/chart" uri="{C3380CC4-5D6E-409C-BE32-E72D297353CC}">
              <c16:uniqueId val="{00000000-BB28-4247-9FE5-93FEB4CC5044}"/>
            </c:ext>
          </c:extLst>
        </c:ser>
        <c:ser>
          <c:idx val="1"/>
          <c:order val="1"/>
          <c:tx>
            <c:v>wS</c:v>
          </c:tx>
          <c:spPr>
            <a:ln w="22225" cap="rnd">
              <a:solidFill>
                <a:schemeClr val="accent2"/>
              </a:solidFill>
            </a:ln>
            <a:effectLst>
              <a:glow rad="139700">
                <a:schemeClr val="accent2">
                  <a:satMod val="175000"/>
                  <a:alpha val="14000"/>
                </a:schemeClr>
              </a:glow>
            </a:effectLst>
          </c:spPr>
          <c:marker>
            <c:symbol val="circle"/>
            <c:size val="3"/>
            <c:spPr>
              <a:solidFill>
                <a:schemeClr val="accent2">
                  <a:lumMod val="60000"/>
                  <a:lumOff val="40000"/>
                </a:schemeClr>
              </a:solidFill>
              <a:ln>
                <a:noFill/>
              </a:ln>
              <a:effectLst>
                <a:glow rad="63500">
                  <a:schemeClr val="accent2">
                    <a:satMod val="175000"/>
                    <a:alpha val="25000"/>
                  </a:schemeClr>
                </a:glow>
              </a:effectLst>
            </c:spPr>
          </c:marker>
          <c:xVal>
            <c:numRef>
              <c:f>'Host L2 --&gt; DEFOL relationship'!$A$5:$A$32</c:f>
              <c:numCache>
                <c:formatCode>General</c:formatCode>
                <c:ptCount val="28"/>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numCache>
            </c:numRef>
          </c:xVal>
          <c:yVal>
            <c:numRef>
              <c:f>'Host L2 --&gt; DEFOL relationship'!$C$5:$C$32</c:f>
              <c:numCache>
                <c:formatCode>_(* #,##0_);_(* \(#,##0\);_(* "-"??_);_(@_)</c:formatCode>
                <c:ptCount val="28"/>
                <c:pt idx="0">
                  <c:v>0</c:v>
                </c:pt>
                <c:pt idx="1">
                  <c:v>7.1999999999999993</c:v>
                </c:pt>
                <c:pt idx="2">
                  <c:v>14.399999999999999</c:v>
                </c:pt>
                <c:pt idx="3">
                  <c:v>21.599999999999998</c:v>
                </c:pt>
                <c:pt idx="4">
                  <c:v>28.799999999999997</c:v>
                </c:pt>
                <c:pt idx="5">
                  <c:v>36</c:v>
                </c:pt>
                <c:pt idx="6">
                  <c:v>43.199999999999996</c:v>
                </c:pt>
                <c:pt idx="7">
                  <c:v>54.983399731247793</c:v>
                </c:pt>
                <c:pt idx="8">
                  <c:v>64.565630622579548</c:v>
                </c:pt>
                <c:pt idx="9">
                  <c:v>73.10585786300048</c:v>
                </c:pt>
                <c:pt idx="10">
                  <c:v>80.21838885585818</c:v>
                </c:pt>
                <c:pt idx="11">
                  <c:v>85.814893509951233</c:v>
                </c:pt>
                <c:pt idx="12">
                  <c:v>90.024951088031486</c:v>
                </c:pt>
                <c:pt idx="13">
                  <c:v>93.086157965665322</c:v>
                </c:pt>
                <c:pt idx="14">
                  <c:v>95.257412682243327</c:v>
                </c:pt>
                <c:pt idx="15">
                  <c:v>96.770453530154938</c:v>
                </c:pt>
                <c:pt idx="16">
                  <c:v>97.811872906386952</c:v>
                </c:pt>
                <c:pt idx="17">
                  <c:v>98.522596830672697</c:v>
                </c:pt>
                <c:pt idx="18">
                  <c:v>99.004819813309567</c:v>
                </c:pt>
                <c:pt idx="19">
                  <c:v>99.330714907571519</c:v>
                </c:pt>
                <c:pt idx="20">
                  <c:v>99.550372683905877</c:v>
                </c:pt>
                <c:pt idx="21">
                  <c:v>99.69815836752916</c:v>
                </c:pt>
                <c:pt idx="22">
                  <c:v>99.797467961095009</c:v>
                </c:pt>
                <c:pt idx="23">
                  <c:v>99.864148004957116</c:v>
                </c:pt>
                <c:pt idx="24">
                  <c:v>99.908894880559941</c:v>
                </c:pt>
                <c:pt idx="25">
                  <c:v>99.938912064056566</c:v>
                </c:pt>
                <c:pt idx="26">
                  <c:v>99.959043283501401</c:v>
                </c:pt>
                <c:pt idx="27">
                  <c:v>99.972542184389852</c:v>
                </c:pt>
              </c:numCache>
            </c:numRef>
          </c:yVal>
          <c:smooth val="1"/>
          <c:extLst>
            <c:ext xmlns:c16="http://schemas.microsoft.com/office/drawing/2014/chart" uri="{C3380CC4-5D6E-409C-BE32-E72D297353CC}">
              <c16:uniqueId val="{00000001-BB28-4247-9FE5-93FEB4CC5044}"/>
            </c:ext>
          </c:extLst>
        </c:ser>
        <c:ser>
          <c:idx val="2"/>
          <c:order val="2"/>
          <c:tx>
            <c:v>rS</c:v>
          </c:tx>
          <c:spPr>
            <a:ln w="22225" cap="rnd">
              <a:solidFill>
                <a:schemeClr val="accent3"/>
              </a:solidFill>
            </a:ln>
            <a:effectLst>
              <a:glow rad="139700">
                <a:schemeClr val="accent3">
                  <a:satMod val="175000"/>
                  <a:alpha val="14000"/>
                </a:schemeClr>
              </a:glow>
            </a:effectLst>
          </c:spPr>
          <c:marker>
            <c:symbol val="circle"/>
            <c:size val="3"/>
            <c:spPr>
              <a:solidFill>
                <a:schemeClr val="accent3">
                  <a:lumMod val="60000"/>
                  <a:lumOff val="40000"/>
                </a:schemeClr>
              </a:solidFill>
              <a:ln>
                <a:noFill/>
              </a:ln>
              <a:effectLst>
                <a:glow rad="63500">
                  <a:schemeClr val="accent3">
                    <a:satMod val="175000"/>
                    <a:alpha val="25000"/>
                  </a:schemeClr>
                </a:glow>
              </a:effectLst>
            </c:spPr>
          </c:marker>
          <c:xVal>
            <c:numRef>
              <c:f>'Host L2 --&gt; DEFOL relationship'!$A$5:$A$32</c:f>
              <c:numCache>
                <c:formatCode>General</c:formatCode>
                <c:ptCount val="28"/>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numCache>
            </c:numRef>
          </c:xVal>
          <c:yVal>
            <c:numRef>
              <c:f>'Host L2 --&gt; DEFOL relationship'!$D$5:$D$32</c:f>
              <c:numCache>
                <c:formatCode>_(* #,##0_);_(* \(#,##0\);_(* "-"??_);_(@_)</c:formatCode>
                <c:ptCount val="28"/>
                <c:pt idx="0">
                  <c:v>0</c:v>
                </c:pt>
                <c:pt idx="1">
                  <c:v>4.3</c:v>
                </c:pt>
                <c:pt idx="2">
                  <c:v>8.6</c:v>
                </c:pt>
                <c:pt idx="3">
                  <c:v>12.9</c:v>
                </c:pt>
                <c:pt idx="4">
                  <c:v>17.2</c:v>
                </c:pt>
                <c:pt idx="5">
                  <c:v>21.5</c:v>
                </c:pt>
                <c:pt idx="6">
                  <c:v>25.8</c:v>
                </c:pt>
                <c:pt idx="7">
                  <c:v>33.451543053417041</c:v>
                </c:pt>
                <c:pt idx="8">
                  <c:v>41.072518148662908</c:v>
                </c:pt>
                <c:pt idx="9">
                  <c:v>48.927481851337099</c:v>
                </c:pt>
                <c:pt idx="10">
                  <c:v>56.548456946582967</c:v>
                </c:pt>
                <c:pt idx="11">
                  <c:v>63.520652505331022</c:v>
                </c:pt>
                <c:pt idx="12">
                  <c:v>69.564803345706466</c:v>
                </c:pt>
                <c:pt idx="13">
                  <c:v>74.564570702213928</c:v>
                </c:pt>
                <c:pt idx="14">
                  <c:v>78.542546573216555</c:v>
                </c:pt>
                <c:pt idx="15">
                  <c:v>81.61067492263588</c:v>
                </c:pt>
                <c:pt idx="16">
                  <c:v>83.92079779743338</c:v>
                </c:pt>
                <c:pt idx="17">
                  <c:v>85.628866108476942</c:v>
                </c:pt>
                <c:pt idx="18">
                  <c:v>86.874891341997824</c:v>
                </c:pt>
                <c:pt idx="19">
                  <c:v>87.774957019766191</c:v>
                </c:pt>
                <c:pt idx="20">
                  <c:v>88.420506979965808</c:v>
                </c:pt>
                <c:pt idx="21">
                  <c:v>88.881151423213268</c:v>
                </c:pt>
                <c:pt idx="22">
                  <c:v>89.208655538429255</c:v>
                </c:pt>
                <c:pt idx="23">
                  <c:v>89.440897220238355</c:v>
                </c:pt>
                <c:pt idx="24">
                  <c:v>89.605282800814848</c:v>
                </c:pt>
                <c:pt idx="25">
                  <c:v>89.72148677083544</c:v>
                </c:pt>
                <c:pt idx="26">
                  <c:v>89.80355551991893</c:v>
                </c:pt>
                <c:pt idx="27">
                  <c:v>89.861478626189125</c:v>
                </c:pt>
              </c:numCache>
            </c:numRef>
          </c:yVal>
          <c:smooth val="1"/>
          <c:extLst>
            <c:ext xmlns:c16="http://schemas.microsoft.com/office/drawing/2014/chart" uri="{C3380CC4-5D6E-409C-BE32-E72D297353CC}">
              <c16:uniqueId val="{00000002-BB28-4247-9FE5-93FEB4CC5044}"/>
            </c:ext>
          </c:extLst>
        </c:ser>
        <c:ser>
          <c:idx val="3"/>
          <c:order val="3"/>
          <c:tx>
            <c:v>bS</c:v>
          </c:tx>
          <c:spPr>
            <a:ln w="22225" cap="rnd">
              <a:solidFill>
                <a:schemeClr val="accent4"/>
              </a:solidFill>
            </a:ln>
            <a:effectLst>
              <a:glow rad="139700">
                <a:schemeClr val="accent4">
                  <a:satMod val="175000"/>
                  <a:alpha val="14000"/>
                </a:schemeClr>
              </a:glow>
            </a:effectLst>
          </c:spPr>
          <c:marker>
            <c:symbol val="circle"/>
            <c:size val="3"/>
            <c:spPr>
              <a:solidFill>
                <a:schemeClr val="accent4">
                  <a:lumMod val="60000"/>
                  <a:lumOff val="40000"/>
                </a:schemeClr>
              </a:solidFill>
              <a:ln>
                <a:noFill/>
              </a:ln>
              <a:effectLst>
                <a:glow rad="63500">
                  <a:schemeClr val="accent4">
                    <a:satMod val="175000"/>
                    <a:alpha val="25000"/>
                  </a:schemeClr>
                </a:glow>
              </a:effectLst>
            </c:spPr>
          </c:marker>
          <c:xVal>
            <c:numRef>
              <c:f>'Host L2 --&gt; DEFOL relationship'!$A$5:$A$32</c:f>
              <c:numCache>
                <c:formatCode>General</c:formatCode>
                <c:ptCount val="28"/>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numCache>
            </c:numRef>
          </c:xVal>
          <c:yVal>
            <c:numRef>
              <c:f>'Host L2 --&gt; DEFOL relationship'!$E$5:$E$32</c:f>
              <c:numCache>
                <c:formatCode>_(* #,##0_);_(* \(#,##0\);_(* "-"??_);_(@_)</c:formatCode>
                <c:ptCount val="28"/>
                <c:pt idx="0">
                  <c:v>0</c:v>
                </c:pt>
                <c:pt idx="1">
                  <c:v>2.8000000000000003</c:v>
                </c:pt>
                <c:pt idx="2">
                  <c:v>5.6000000000000005</c:v>
                </c:pt>
                <c:pt idx="3">
                  <c:v>8.4</c:v>
                </c:pt>
                <c:pt idx="4">
                  <c:v>11.200000000000001</c:v>
                </c:pt>
                <c:pt idx="5">
                  <c:v>14.000000000000002</c:v>
                </c:pt>
                <c:pt idx="6">
                  <c:v>16.8</c:v>
                </c:pt>
                <c:pt idx="7">
                  <c:v>20.738008065427682</c:v>
                </c:pt>
                <c:pt idx="8">
                  <c:v>26.544978226546711</c:v>
                </c:pt>
                <c:pt idx="9">
                  <c:v>33.070593686613599</c:v>
                </c:pt>
                <c:pt idx="10">
                  <c:v>40</c:v>
                </c:pt>
                <c:pt idx="11">
                  <c:v>46.929406313386409</c:v>
                </c:pt>
                <c:pt idx="12">
                  <c:v>53.455021773453289</c:v>
                </c:pt>
                <c:pt idx="13">
                  <c:v>59.261991934572322</c:v>
                </c:pt>
                <c:pt idx="14">
                  <c:v>64.17471108468655</c:v>
                </c:pt>
                <c:pt idx="15">
                  <c:v>68.156224157464848</c:v>
                </c:pt>
                <c:pt idx="16">
                  <c:v>71.272254304350966</c:v>
                </c:pt>
                <c:pt idx="17">
                  <c:v>73.64491606528172</c:v>
                </c:pt>
                <c:pt idx="18">
                  <c:v>75.414065928090508</c:v>
                </c:pt>
                <c:pt idx="19">
                  <c:v>76.712697743962806</c:v>
                </c:pt>
                <c:pt idx="20">
                  <c:v>77.655021539891493</c:v>
                </c:pt>
                <c:pt idx="21">
                  <c:v>78.33309243850556</c:v>
                </c:pt>
                <c:pt idx="22">
                  <c:v>78.818077464538163</c:v>
                </c:pt>
                <c:pt idx="23">
                  <c:v>79.163463501446543</c:v>
                </c:pt>
                <c:pt idx="24">
                  <c:v>79.408676692457448</c:v>
                </c:pt>
                <c:pt idx="25">
                  <c:v>79.582389944515327</c:v>
                </c:pt>
                <c:pt idx="26">
                  <c:v>79.705260808045125</c:v>
                </c:pt>
                <c:pt idx="27">
                  <c:v>79.792074579014141</c:v>
                </c:pt>
              </c:numCache>
            </c:numRef>
          </c:yVal>
          <c:smooth val="1"/>
          <c:extLst>
            <c:ext xmlns:c16="http://schemas.microsoft.com/office/drawing/2014/chart" uri="{C3380CC4-5D6E-409C-BE32-E72D297353CC}">
              <c16:uniqueId val="{00000003-BB28-4247-9FE5-93FEB4CC5044}"/>
            </c:ext>
          </c:extLst>
        </c:ser>
        <c:dLbls>
          <c:showLegendKey val="0"/>
          <c:showVal val="0"/>
          <c:showCatName val="0"/>
          <c:showSerName val="0"/>
          <c:showPercent val="0"/>
          <c:showBubbleSize val="0"/>
        </c:dLbls>
        <c:axId val="610032128"/>
        <c:axId val="610035264"/>
      </c:scatterChart>
      <c:valAx>
        <c:axId val="610032128"/>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CA"/>
                  <a:t>L2/m2</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10035264"/>
        <c:crosses val="autoZero"/>
        <c:crossBetween val="midCat"/>
      </c:valAx>
      <c:valAx>
        <c:axId val="610035264"/>
        <c:scaling>
          <c:orientation val="minMax"/>
          <c:max val="10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r>
                  <a:rPr lang="en-CA"/>
                  <a:t>Defoliation (%)</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title>
        <c:numFmt formatCode="_(* #,##0_);_(* \(#,##0\);_(* &quot;-&quot;??_);_(@_)"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610032128"/>
        <c:crosses val="autoZero"/>
        <c:crossBetween val="midCat"/>
      </c:valAx>
      <c:spPr>
        <a:noFill/>
        <a:ln>
          <a:noFill/>
        </a:ln>
        <a:effectLst/>
      </c:spPr>
    </c:plotArea>
    <c:legend>
      <c:legendPos val="t"/>
      <c:layout>
        <c:manualLayout>
          <c:xMode val="edge"/>
          <c:yMode val="edge"/>
          <c:x val="0.51325124800576394"/>
          <c:y val="0.50528599605522684"/>
          <c:w val="0.18918377849827597"/>
          <c:h val="0.24013853297923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563880</xdr:colOff>
      <xdr:row>3</xdr:row>
      <xdr:rowOff>95250</xdr:rowOff>
    </xdr:from>
    <xdr:to>
      <xdr:col>13</xdr:col>
      <xdr:colOff>182880</xdr:colOff>
      <xdr:row>21</xdr:row>
      <xdr:rowOff>22860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51"/>
  <sheetViews>
    <sheetView workbookViewId="0">
      <pane ySplit="3" topLeftCell="A9" activePane="bottomLeft" state="frozen"/>
      <selection pane="bottomLeft" activeCell="H17" sqref="H17"/>
    </sheetView>
  </sheetViews>
  <sheetFormatPr defaultColWidth="8.90625" defaultRowHeight="14.5" x14ac:dyDescent="0.35"/>
  <cols>
    <col min="1" max="1" width="2.453125" style="4" customWidth="1"/>
    <col min="2" max="2" width="7.08984375" style="4" customWidth="1"/>
    <col min="3" max="7" width="6.81640625" style="4" customWidth="1"/>
    <col min="8" max="8" width="7.6328125" style="4" customWidth="1"/>
    <col min="9" max="27" width="6.81640625" style="4" customWidth="1"/>
    <col min="28" max="16384" width="8.90625" style="4"/>
  </cols>
  <sheetData>
    <row r="1" spans="1:51" ht="15" thickBot="1" x14ac:dyDescent="0.4">
      <c r="A1" s="8"/>
      <c r="B1" s="8"/>
      <c r="C1" s="9"/>
      <c r="D1" s="9"/>
      <c r="E1" s="8"/>
      <c r="F1" s="8"/>
      <c r="G1" s="8"/>
      <c r="H1" s="8"/>
      <c r="I1" s="8"/>
      <c r="J1" s="8"/>
      <c r="K1" s="8"/>
      <c r="L1" s="8"/>
      <c r="M1" s="8"/>
      <c r="N1" s="8"/>
      <c r="O1" s="8"/>
      <c r="P1" s="8"/>
      <c r="Q1" s="8"/>
      <c r="R1" s="8"/>
      <c r="S1" s="8"/>
      <c r="T1" s="8"/>
      <c r="U1" s="5"/>
      <c r="V1" s="5"/>
      <c r="W1" s="5"/>
      <c r="X1" s="5"/>
      <c r="Y1" s="5"/>
      <c r="Z1" s="5"/>
      <c r="AA1" s="5"/>
      <c r="AY1" s="4" t="s">
        <v>27</v>
      </c>
    </row>
    <row r="2" spans="1:51" x14ac:dyDescent="0.35">
      <c r="A2" s="6"/>
      <c r="B2" s="6"/>
      <c r="C2" s="7"/>
      <c r="D2" s="7"/>
      <c r="E2" s="3"/>
      <c r="F2" s="3"/>
      <c r="G2" s="3"/>
      <c r="H2" s="3"/>
      <c r="I2" s="3"/>
      <c r="J2" s="10" t="s">
        <v>2</v>
      </c>
      <c r="K2" s="3"/>
      <c r="L2" s="3"/>
      <c r="M2" s="3"/>
      <c r="N2" s="3"/>
      <c r="O2" s="3"/>
      <c r="P2" s="3"/>
      <c r="Q2" s="3"/>
      <c r="R2" s="3"/>
      <c r="S2" s="3"/>
      <c r="T2" s="3"/>
      <c r="U2" s="3"/>
      <c r="V2" s="3"/>
      <c r="W2" s="3"/>
      <c r="X2" s="3"/>
      <c r="Y2" s="3"/>
      <c r="Z2" s="3"/>
      <c r="AA2" s="3"/>
      <c r="AY2" s="4" t="s">
        <v>26</v>
      </c>
    </row>
    <row r="3" spans="1:51" x14ac:dyDescent="0.35">
      <c r="A3" s="11" t="s">
        <v>3</v>
      </c>
      <c r="B3" s="12"/>
      <c r="C3" s="13">
        <v>1</v>
      </c>
      <c r="D3" s="13">
        <f>C3+1</f>
        <v>2</v>
      </c>
      <c r="E3" s="13">
        <f t="shared" ref="E3:AA3" si="0">D3+1</f>
        <v>3</v>
      </c>
      <c r="F3" s="13">
        <f t="shared" si="0"/>
        <v>4</v>
      </c>
      <c r="G3" s="13">
        <f t="shared" si="0"/>
        <v>5</v>
      </c>
      <c r="H3" s="13">
        <f t="shared" si="0"/>
        <v>6</v>
      </c>
      <c r="I3" s="13">
        <f t="shared" si="0"/>
        <v>7</v>
      </c>
      <c r="J3" s="13">
        <f t="shared" si="0"/>
        <v>8</v>
      </c>
      <c r="K3" s="13">
        <f t="shared" si="0"/>
        <v>9</v>
      </c>
      <c r="L3" s="13">
        <f t="shared" si="0"/>
        <v>10</v>
      </c>
      <c r="M3" s="13">
        <f t="shared" si="0"/>
        <v>11</v>
      </c>
      <c r="N3" s="13">
        <f t="shared" si="0"/>
        <v>12</v>
      </c>
      <c r="O3" s="13">
        <f t="shared" si="0"/>
        <v>13</v>
      </c>
      <c r="P3" s="13">
        <f t="shared" si="0"/>
        <v>14</v>
      </c>
      <c r="Q3" s="13">
        <f t="shared" si="0"/>
        <v>15</v>
      </c>
      <c r="R3" s="13">
        <f t="shared" si="0"/>
        <v>16</v>
      </c>
      <c r="S3" s="13">
        <f t="shared" si="0"/>
        <v>17</v>
      </c>
      <c r="T3" s="13">
        <f t="shared" si="0"/>
        <v>18</v>
      </c>
      <c r="U3" s="13">
        <f t="shared" si="0"/>
        <v>19</v>
      </c>
      <c r="V3" s="13">
        <f t="shared" si="0"/>
        <v>20</v>
      </c>
      <c r="W3" s="13">
        <f t="shared" si="0"/>
        <v>21</v>
      </c>
      <c r="X3" s="13">
        <f t="shared" si="0"/>
        <v>22</v>
      </c>
      <c r="Y3" s="13">
        <f t="shared" si="0"/>
        <v>23</v>
      </c>
      <c r="Z3" s="13">
        <f t="shared" si="0"/>
        <v>24</v>
      </c>
      <c r="AA3" s="13">
        <f t="shared" si="0"/>
        <v>25</v>
      </c>
    </row>
    <row r="4" spans="1:51" ht="21" customHeight="1" x14ac:dyDescent="0.35">
      <c r="A4" s="21"/>
      <c r="B4" s="21"/>
      <c r="C4" s="21" t="s">
        <v>15</v>
      </c>
      <c r="D4" s="22"/>
      <c r="E4" s="22"/>
      <c r="F4" s="22"/>
      <c r="G4" s="22"/>
      <c r="H4" s="22"/>
      <c r="I4" s="22"/>
      <c r="J4" s="21"/>
      <c r="K4" s="22"/>
      <c r="L4" s="22"/>
      <c r="M4" s="22"/>
      <c r="N4" s="22"/>
      <c r="O4" s="22"/>
      <c r="P4" s="22"/>
      <c r="Q4" s="22"/>
      <c r="R4" s="22"/>
      <c r="S4" s="22"/>
      <c r="T4" s="22"/>
      <c r="U4" s="22"/>
      <c r="V4" s="22"/>
      <c r="W4" s="22"/>
      <c r="X4" s="22"/>
      <c r="Y4" s="22"/>
      <c r="Z4" s="22"/>
      <c r="AA4" s="22"/>
    </row>
    <row r="5" spans="1:51" x14ac:dyDescent="0.35">
      <c r="A5" s="6" t="s">
        <v>0</v>
      </c>
      <c r="B5" s="6"/>
      <c r="C5" s="3">
        <v>20</v>
      </c>
      <c r="D5" s="3">
        <v>20</v>
      </c>
      <c r="E5" s="3">
        <v>20</v>
      </c>
      <c r="F5" s="3">
        <v>70</v>
      </c>
      <c r="G5" s="3">
        <v>90</v>
      </c>
      <c r="H5" s="26">
        <v>100</v>
      </c>
      <c r="I5" s="26">
        <v>100</v>
      </c>
      <c r="J5" s="26">
        <v>100</v>
      </c>
      <c r="K5" s="3">
        <v>90</v>
      </c>
      <c r="L5" s="3">
        <v>80</v>
      </c>
      <c r="M5" s="3">
        <v>80</v>
      </c>
      <c r="N5" s="3">
        <v>70</v>
      </c>
      <c r="O5" s="3">
        <v>40</v>
      </c>
      <c r="P5" s="3">
        <v>10</v>
      </c>
      <c r="Q5" s="3">
        <v>10</v>
      </c>
      <c r="R5" s="3">
        <v>10</v>
      </c>
      <c r="S5" s="3">
        <v>0</v>
      </c>
      <c r="T5" s="3">
        <v>0</v>
      </c>
      <c r="U5" s="3">
        <v>0</v>
      </c>
      <c r="V5" s="3">
        <v>0</v>
      </c>
      <c r="W5" s="3">
        <v>0</v>
      </c>
      <c r="X5" s="3">
        <v>0</v>
      </c>
      <c r="Y5" s="3">
        <v>0</v>
      </c>
      <c r="Z5" s="3">
        <v>0</v>
      </c>
      <c r="AA5" s="3">
        <v>0</v>
      </c>
    </row>
    <row r="6" spans="1:51" x14ac:dyDescent="0.35">
      <c r="A6" s="6" t="s">
        <v>1</v>
      </c>
      <c r="B6" s="6"/>
      <c r="C6" s="3">
        <v>20</v>
      </c>
      <c r="D6" s="3">
        <v>20</v>
      </c>
      <c r="E6" s="3">
        <v>20</v>
      </c>
      <c r="F6" s="3">
        <v>70</v>
      </c>
      <c r="G6" s="3">
        <v>90</v>
      </c>
      <c r="H6" s="26">
        <v>100</v>
      </c>
      <c r="I6" s="26">
        <v>90</v>
      </c>
      <c r="J6" s="26">
        <v>80</v>
      </c>
      <c r="K6" s="3">
        <v>80</v>
      </c>
      <c r="L6" s="3">
        <v>70</v>
      </c>
      <c r="M6" s="3">
        <v>40</v>
      </c>
      <c r="N6" s="3">
        <v>10</v>
      </c>
      <c r="O6" s="3">
        <v>10</v>
      </c>
      <c r="P6" s="3">
        <v>10</v>
      </c>
      <c r="Q6" s="3">
        <v>0</v>
      </c>
      <c r="R6" s="3">
        <v>0</v>
      </c>
      <c r="S6" s="3">
        <v>0</v>
      </c>
      <c r="T6" s="3">
        <v>0</v>
      </c>
      <c r="U6" s="3">
        <v>0</v>
      </c>
      <c r="V6" s="3">
        <v>0</v>
      </c>
      <c r="W6" s="3">
        <v>0</v>
      </c>
      <c r="X6" s="3">
        <v>0</v>
      </c>
      <c r="Y6" s="3">
        <v>0</v>
      </c>
      <c r="Z6" s="3">
        <v>0</v>
      </c>
      <c r="AA6" s="3">
        <v>0</v>
      </c>
    </row>
    <row r="7" spans="1:51" ht="19.75" customHeight="1" x14ac:dyDescent="0.35">
      <c r="A7" s="20"/>
      <c r="B7" s="20"/>
      <c r="C7" s="20" t="s">
        <v>11</v>
      </c>
      <c r="D7" s="12"/>
      <c r="E7" s="12"/>
      <c r="F7" s="12"/>
      <c r="G7" s="12"/>
      <c r="H7" s="12"/>
      <c r="I7" s="12"/>
      <c r="J7" s="20"/>
      <c r="K7" s="12"/>
      <c r="L7" s="12"/>
      <c r="M7" s="12"/>
      <c r="N7" s="12"/>
      <c r="O7" s="12"/>
      <c r="P7" s="12"/>
      <c r="Q7" s="12"/>
      <c r="R7" s="12"/>
      <c r="S7" s="12"/>
      <c r="T7" s="12"/>
      <c r="U7" s="12"/>
      <c r="V7" s="12"/>
      <c r="W7" s="12"/>
      <c r="X7" s="12"/>
      <c r="Y7" s="12"/>
      <c r="Z7" s="12"/>
      <c r="AA7" s="12"/>
    </row>
    <row r="8" spans="1:51" x14ac:dyDescent="0.35">
      <c r="A8" s="6"/>
      <c r="B8" s="6"/>
      <c r="C8" s="15">
        <v>1</v>
      </c>
      <c r="D8" s="16">
        <f>C8-0.035</f>
        <v>0.96499999999999997</v>
      </c>
      <c r="E8" s="16">
        <f t="shared" ref="E8:N8" si="1">D8-0.035</f>
        <v>0.92999999999999994</v>
      </c>
      <c r="F8" s="16">
        <f t="shared" si="1"/>
        <v>0.89499999999999991</v>
      </c>
      <c r="G8" s="16">
        <f t="shared" si="1"/>
        <v>0.85999999999999988</v>
      </c>
      <c r="H8" s="16">
        <f t="shared" si="1"/>
        <v>0.82499999999999984</v>
      </c>
      <c r="I8" s="16">
        <f t="shared" si="1"/>
        <v>0.78999999999999981</v>
      </c>
      <c r="J8" s="16">
        <f t="shared" si="1"/>
        <v>0.75499999999999978</v>
      </c>
      <c r="K8" s="16">
        <f t="shared" si="1"/>
        <v>0.71999999999999975</v>
      </c>
      <c r="L8" s="16">
        <f t="shared" si="1"/>
        <v>0.68499999999999972</v>
      </c>
      <c r="M8" s="16">
        <f t="shared" si="1"/>
        <v>0.64999999999999969</v>
      </c>
      <c r="N8" s="16">
        <f t="shared" si="1"/>
        <v>0.61499999999999966</v>
      </c>
      <c r="O8" s="16">
        <v>0.6</v>
      </c>
      <c r="P8" s="16">
        <v>0.6</v>
      </c>
      <c r="Q8" s="16">
        <v>0.6</v>
      </c>
      <c r="R8" s="16">
        <v>0.6</v>
      </c>
      <c r="S8" s="16">
        <v>0.6</v>
      </c>
      <c r="T8" s="16">
        <v>0.6</v>
      </c>
      <c r="U8" s="16">
        <v>0.6</v>
      </c>
      <c r="V8" s="16">
        <v>0.6</v>
      </c>
      <c r="W8" s="16">
        <v>0.6</v>
      </c>
      <c r="X8" s="16">
        <v>0.6</v>
      </c>
      <c r="Y8" s="16">
        <v>0.6</v>
      </c>
      <c r="Z8" s="16">
        <v>0.6</v>
      </c>
      <c r="AA8" s="16">
        <v>0.6</v>
      </c>
    </row>
    <row r="9" spans="1:51" ht="24" customHeight="1" x14ac:dyDescent="0.35">
      <c r="A9" s="20"/>
      <c r="B9" s="20"/>
      <c r="C9" s="20" t="s">
        <v>13</v>
      </c>
      <c r="D9" s="12"/>
      <c r="E9" s="12"/>
      <c r="F9" s="12"/>
      <c r="G9" s="12"/>
      <c r="H9" s="12"/>
      <c r="I9" s="12"/>
      <c r="J9" s="20"/>
      <c r="K9" s="12"/>
      <c r="L9" s="12"/>
      <c r="M9" s="12"/>
      <c r="N9" s="12"/>
      <c r="O9" s="12"/>
      <c r="P9" s="12"/>
      <c r="Q9" s="12"/>
      <c r="R9" s="12"/>
      <c r="S9" s="12"/>
      <c r="T9" s="12"/>
      <c r="U9" s="12"/>
      <c r="V9" s="12"/>
      <c r="W9" s="12"/>
      <c r="X9" s="12"/>
      <c r="Y9" s="12"/>
      <c r="Z9" s="12"/>
      <c r="AA9" s="12"/>
    </row>
    <row r="10" spans="1:51" x14ac:dyDescent="0.35">
      <c r="A10" s="6" t="s">
        <v>0</v>
      </c>
      <c r="B10" s="6"/>
      <c r="C10" s="14">
        <f t="shared" ref="C10:G11" si="2">C5/C$8</f>
        <v>20</v>
      </c>
      <c r="D10" s="17">
        <f>D5/D$8</f>
        <v>20.725388601036268</v>
      </c>
      <c r="E10" s="17">
        <f t="shared" si="2"/>
        <v>21.505376344086024</v>
      </c>
      <c r="F10" s="17">
        <f t="shared" si="2"/>
        <v>78.212290502793309</v>
      </c>
      <c r="G10" s="17">
        <f t="shared" si="2"/>
        <v>104.65116279069768</v>
      </c>
      <c r="H10" s="18">
        <v>279</v>
      </c>
      <c r="I10" s="18">
        <v>322</v>
      </c>
      <c r="J10" s="18">
        <v>225</v>
      </c>
      <c r="K10" s="17">
        <f>K5/K$8</f>
        <v>125.00000000000004</v>
      </c>
      <c r="L10" s="17">
        <f t="shared" ref="L10" si="3">L5/L$8</f>
        <v>116.78832116788325</v>
      </c>
      <c r="M10" s="17">
        <f>M5/M$8</f>
        <v>123.07692307692314</v>
      </c>
      <c r="N10" s="17">
        <f>N5/N$8</f>
        <v>113.82113821138218</v>
      </c>
      <c r="O10" s="17">
        <f>O5/O$8</f>
        <v>66.666666666666671</v>
      </c>
      <c r="P10" s="17">
        <f t="shared" ref="N10:T11" si="4">P5/P$8</f>
        <v>16.666666666666668</v>
      </c>
      <c r="Q10" s="17">
        <f t="shared" si="4"/>
        <v>16.666666666666668</v>
      </c>
      <c r="R10" s="17">
        <f t="shared" si="4"/>
        <v>16.666666666666668</v>
      </c>
      <c r="S10" s="17">
        <f t="shared" si="4"/>
        <v>0</v>
      </c>
      <c r="T10" s="17">
        <f t="shared" si="4"/>
        <v>0</v>
      </c>
      <c r="U10" s="17">
        <f t="shared" ref="U10:AA11" si="5">U5/U$8</f>
        <v>0</v>
      </c>
      <c r="V10" s="17">
        <f t="shared" si="5"/>
        <v>0</v>
      </c>
      <c r="W10" s="17">
        <f t="shared" si="5"/>
        <v>0</v>
      </c>
      <c r="X10" s="17">
        <f t="shared" si="5"/>
        <v>0</v>
      </c>
      <c r="Y10" s="17">
        <f t="shared" si="5"/>
        <v>0</v>
      </c>
      <c r="Z10" s="17">
        <f t="shared" si="5"/>
        <v>0</v>
      </c>
      <c r="AA10" s="17">
        <f t="shared" si="5"/>
        <v>0</v>
      </c>
    </row>
    <row r="11" spans="1:51" x14ac:dyDescent="0.35">
      <c r="A11" s="6" t="s">
        <v>1</v>
      </c>
      <c r="B11" s="6"/>
      <c r="C11" s="14">
        <f t="shared" si="2"/>
        <v>20</v>
      </c>
      <c r="D11" s="17">
        <f t="shared" si="2"/>
        <v>20.725388601036268</v>
      </c>
      <c r="E11" s="17">
        <f t="shared" si="2"/>
        <v>21.505376344086024</v>
      </c>
      <c r="F11" s="17">
        <f t="shared" si="2"/>
        <v>78.212290502793309</v>
      </c>
      <c r="G11" s="17">
        <f t="shared" si="2"/>
        <v>104.65116279069768</v>
      </c>
      <c r="H11" s="18">
        <v>225</v>
      </c>
      <c r="I11" s="17">
        <f>I6/I$8</f>
        <v>113.92405063291142</v>
      </c>
      <c r="J11" s="17">
        <f>J6/J$8</f>
        <v>105.96026490066228</v>
      </c>
      <c r="K11" s="17">
        <f t="shared" ref="K11:M11" si="6">K6/K$8</f>
        <v>111.11111111111114</v>
      </c>
      <c r="L11" s="17">
        <f t="shared" si="6"/>
        <v>102.18978102189786</v>
      </c>
      <c r="M11" s="17">
        <f t="shared" si="6"/>
        <v>61.538461538461569</v>
      </c>
      <c r="N11" s="17">
        <f t="shared" si="4"/>
        <v>16.260162601626025</v>
      </c>
      <c r="O11" s="17">
        <f t="shared" si="4"/>
        <v>16.666666666666668</v>
      </c>
      <c r="P11" s="17">
        <f t="shared" si="4"/>
        <v>16.666666666666668</v>
      </c>
      <c r="Q11" s="17">
        <f t="shared" si="4"/>
        <v>0</v>
      </c>
      <c r="R11" s="17">
        <f t="shared" si="4"/>
        <v>0</v>
      </c>
      <c r="S11" s="17">
        <f t="shared" si="4"/>
        <v>0</v>
      </c>
      <c r="T11" s="17">
        <f t="shared" si="4"/>
        <v>0</v>
      </c>
      <c r="U11" s="17">
        <f t="shared" si="5"/>
        <v>0</v>
      </c>
      <c r="V11" s="17">
        <f t="shared" si="5"/>
        <v>0</v>
      </c>
      <c r="W11" s="17">
        <f t="shared" si="5"/>
        <v>0</v>
      </c>
      <c r="X11" s="17">
        <f t="shared" si="5"/>
        <v>0</v>
      </c>
      <c r="Y11" s="17">
        <f t="shared" si="5"/>
        <v>0</v>
      </c>
      <c r="Z11" s="17">
        <f t="shared" si="5"/>
        <v>0</v>
      </c>
      <c r="AA11" s="17">
        <f t="shared" si="5"/>
        <v>0</v>
      </c>
    </row>
    <row r="12" spans="1:51" ht="16.25" customHeight="1" x14ac:dyDescent="0.35">
      <c r="A12" s="20"/>
      <c r="B12" s="20"/>
      <c r="C12" s="20" t="s">
        <v>12</v>
      </c>
      <c r="D12" s="12"/>
      <c r="E12" s="12"/>
      <c r="F12" s="12"/>
      <c r="G12" s="12"/>
      <c r="H12" s="12"/>
      <c r="I12" s="12"/>
      <c r="J12" s="20"/>
      <c r="K12" s="12"/>
      <c r="L12" s="12"/>
      <c r="M12" s="12"/>
      <c r="N12" s="12"/>
      <c r="O12" s="12"/>
      <c r="P12" s="12"/>
      <c r="Q12" s="12"/>
      <c r="R12" s="12"/>
      <c r="S12" s="12"/>
      <c r="T12" s="12"/>
      <c r="U12" s="12"/>
      <c r="V12" s="12"/>
      <c r="W12" s="12"/>
      <c r="X12" s="12"/>
      <c r="Y12" s="12"/>
      <c r="Z12" s="12"/>
      <c r="AA12" s="12"/>
    </row>
    <row r="13" spans="1:51" x14ac:dyDescent="0.35">
      <c r="A13" s="6" t="s">
        <v>0</v>
      </c>
      <c r="B13" s="6"/>
      <c r="C13" s="19">
        <f>C10/7.4</f>
        <v>2.7027027027027026</v>
      </c>
      <c r="D13" s="19">
        <f t="shared" ref="D13:V13" si="7">D10/7.4</f>
        <v>2.8007281893292255</v>
      </c>
      <c r="E13" s="19">
        <f t="shared" si="7"/>
        <v>2.9061319383900033</v>
      </c>
      <c r="F13" s="19">
        <f t="shared" si="7"/>
        <v>10.56922844632342</v>
      </c>
      <c r="G13" s="19">
        <f t="shared" si="7"/>
        <v>14.142049025769957</v>
      </c>
      <c r="H13" s="19">
        <f t="shared" si="7"/>
        <v>37.702702702702702</v>
      </c>
      <c r="I13" s="19">
        <f t="shared" si="7"/>
        <v>43.513513513513509</v>
      </c>
      <c r="J13" s="19">
        <f t="shared" si="7"/>
        <v>30.405405405405403</v>
      </c>
      <c r="K13" s="19">
        <f t="shared" si="7"/>
        <v>16.891891891891898</v>
      </c>
      <c r="L13" s="19">
        <f t="shared" si="7"/>
        <v>15.782205563227466</v>
      </c>
      <c r="M13" s="19">
        <f t="shared" si="7"/>
        <v>16.63201663201664</v>
      </c>
      <c r="N13" s="19">
        <f t="shared" si="7"/>
        <v>15.381234893430022</v>
      </c>
      <c r="O13" s="19">
        <f t="shared" si="7"/>
        <v>9.0090090090090094</v>
      </c>
      <c r="P13" s="19">
        <f t="shared" si="7"/>
        <v>2.2522522522522523</v>
      </c>
      <c r="Q13" s="19">
        <f t="shared" si="7"/>
        <v>2.2522522522522523</v>
      </c>
      <c r="R13" s="19">
        <f t="shared" si="7"/>
        <v>2.2522522522522523</v>
      </c>
      <c r="S13" s="19">
        <f t="shared" si="7"/>
        <v>0</v>
      </c>
      <c r="T13" s="19">
        <f t="shared" si="7"/>
        <v>0</v>
      </c>
      <c r="U13" s="19">
        <f t="shared" si="7"/>
        <v>0</v>
      </c>
      <c r="V13" s="19">
        <f t="shared" si="7"/>
        <v>0</v>
      </c>
      <c r="W13" s="19">
        <f t="shared" ref="W13:AA14" si="8">W10/7.4</f>
        <v>0</v>
      </c>
      <c r="X13" s="19">
        <f t="shared" si="8"/>
        <v>0</v>
      </c>
      <c r="Y13" s="19">
        <f t="shared" si="8"/>
        <v>0</v>
      </c>
      <c r="Z13" s="19">
        <f t="shared" si="8"/>
        <v>0</v>
      </c>
      <c r="AA13" s="19">
        <f t="shared" si="8"/>
        <v>0</v>
      </c>
    </row>
    <row r="14" spans="1:51" x14ac:dyDescent="0.35">
      <c r="A14" s="6" t="s">
        <v>1</v>
      </c>
      <c r="B14" s="6"/>
      <c r="C14" s="19">
        <f t="shared" ref="C14:V14" si="9">C11/7.4</f>
        <v>2.7027027027027026</v>
      </c>
      <c r="D14" s="19">
        <f t="shared" si="9"/>
        <v>2.8007281893292255</v>
      </c>
      <c r="E14" s="19">
        <f t="shared" si="9"/>
        <v>2.9061319383900033</v>
      </c>
      <c r="F14" s="19">
        <f t="shared" si="9"/>
        <v>10.56922844632342</v>
      </c>
      <c r="G14" s="19">
        <f t="shared" si="9"/>
        <v>14.142049025769957</v>
      </c>
      <c r="H14" s="19">
        <f t="shared" si="9"/>
        <v>30.405405405405403</v>
      </c>
      <c r="I14" s="19">
        <f t="shared" si="9"/>
        <v>15.395141977420462</v>
      </c>
      <c r="J14" s="19">
        <f t="shared" si="9"/>
        <v>14.318954716305713</v>
      </c>
      <c r="K14" s="19">
        <f t="shared" si="9"/>
        <v>15.015015015015019</v>
      </c>
      <c r="L14" s="19">
        <f t="shared" si="9"/>
        <v>13.809429867824035</v>
      </c>
      <c r="M14" s="19">
        <f t="shared" si="9"/>
        <v>8.31600831600832</v>
      </c>
      <c r="N14" s="19">
        <f t="shared" si="9"/>
        <v>2.1973192704900031</v>
      </c>
      <c r="O14" s="19">
        <f t="shared" si="9"/>
        <v>2.2522522522522523</v>
      </c>
      <c r="P14" s="19">
        <f t="shared" si="9"/>
        <v>2.2522522522522523</v>
      </c>
      <c r="Q14" s="19">
        <f t="shared" si="9"/>
        <v>0</v>
      </c>
      <c r="R14" s="19">
        <f t="shared" si="9"/>
        <v>0</v>
      </c>
      <c r="S14" s="19">
        <f t="shared" si="9"/>
        <v>0</v>
      </c>
      <c r="T14" s="19">
        <f t="shared" si="9"/>
        <v>0</v>
      </c>
      <c r="U14" s="19">
        <f t="shared" si="9"/>
        <v>0</v>
      </c>
      <c r="V14" s="19">
        <f t="shared" si="9"/>
        <v>0</v>
      </c>
      <c r="W14" s="19">
        <f t="shared" si="8"/>
        <v>0</v>
      </c>
      <c r="X14" s="19">
        <f t="shared" si="8"/>
        <v>0</v>
      </c>
      <c r="Y14" s="19">
        <f t="shared" si="8"/>
        <v>0</v>
      </c>
      <c r="Z14" s="19">
        <f t="shared" si="8"/>
        <v>0</v>
      </c>
      <c r="AA14" s="19">
        <f t="shared" si="8"/>
        <v>0</v>
      </c>
    </row>
    <row r="15" spans="1:51" ht="22.75" customHeight="1" x14ac:dyDescent="0.35">
      <c r="A15" s="11"/>
      <c r="B15" s="20"/>
      <c r="C15" s="20" t="s">
        <v>10</v>
      </c>
      <c r="D15" s="12"/>
      <c r="E15" s="12"/>
      <c r="F15" s="12"/>
      <c r="G15" s="12"/>
      <c r="H15" s="12"/>
      <c r="I15" s="12"/>
      <c r="J15" s="20"/>
      <c r="K15" s="12"/>
      <c r="L15" s="12"/>
      <c r="M15" s="12"/>
      <c r="N15" s="12"/>
      <c r="O15" s="12"/>
      <c r="P15" s="12"/>
      <c r="Q15" s="12"/>
      <c r="R15" s="12"/>
      <c r="S15" s="12"/>
      <c r="T15" s="12"/>
      <c r="U15" s="12"/>
      <c r="V15" s="12"/>
      <c r="W15" s="12"/>
      <c r="X15" s="12"/>
      <c r="Y15" s="12"/>
      <c r="Z15" s="12"/>
      <c r="AA15" s="12"/>
    </row>
    <row r="16" spans="1:51" ht="22.75" customHeight="1" thickBot="1" x14ac:dyDescent="0.4">
      <c r="A16" s="3"/>
      <c r="B16" s="3"/>
      <c r="C16" s="45" t="s">
        <v>8</v>
      </c>
      <c r="D16" s="23"/>
      <c r="E16" s="50">
        <v>0</v>
      </c>
      <c r="F16" s="65" t="s">
        <v>25</v>
      </c>
      <c r="G16" s="65"/>
      <c r="H16" s="46" t="s">
        <v>27</v>
      </c>
      <c r="I16" s="65" t="s">
        <v>24</v>
      </c>
      <c r="J16" s="65"/>
      <c r="K16" s="48">
        <v>40</v>
      </c>
      <c r="L16" s="65" t="s">
        <v>31</v>
      </c>
      <c r="M16" s="65"/>
      <c r="N16" s="49">
        <v>0.5</v>
      </c>
      <c r="O16" s="66" t="s">
        <v>28</v>
      </c>
      <c r="P16" s="66"/>
      <c r="Q16" s="47">
        <v>0</v>
      </c>
      <c r="R16" s="66" t="s">
        <v>29</v>
      </c>
      <c r="S16" s="66"/>
      <c r="T16" s="47">
        <v>0</v>
      </c>
      <c r="U16" s="27"/>
      <c r="V16" s="28" t="s">
        <v>30</v>
      </c>
      <c r="W16" s="27"/>
      <c r="X16" s="27"/>
      <c r="Y16" s="27"/>
      <c r="Z16" s="27"/>
      <c r="AA16" s="28"/>
      <c r="AB16" s="4" t="s">
        <v>32</v>
      </c>
      <c r="AC16" s="4" t="s">
        <v>33</v>
      </c>
    </row>
    <row r="17" spans="1:29" x14ac:dyDescent="0.35">
      <c r="A17" s="6" t="s">
        <v>0</v>
      </c>
      <c r="B17" s="6"/>
      <c r="C17" s="19">
        <f t="shared" ref="C17:I17" si="10">IF(AND($H$16="Yes",C10&gt;=$K$16),1-$N$16,1)*(1-$E$16)*C10</f>
        <v>20</v>
      </c>
      <c r="D17" s="19">
        <f t="shared" si="10"/>
        <v>20.725388601036268</v>
      </c>
      <c r="E17" s="19">
        <f t="shared" si="10"/>
        <v>21.505376344086024</v>
      </c>
      <c r="F17" s="19">
        <f>IF(AND($H$16="Yes",F10&gt;=$K$16),1-$N$16,1)*(1-$E$16)*F10</f>
        <v>39.106145251396654</v>
      </c>
      <c r="G17" s="19">
        <f t="shared" si="10"/>
        <v>52.325581395348841</v>
      </c>
      <c r="H17" s="19">
        <f t="shared" si="10"/>
        <v>139.5</v>
      </c>
      <c r="I17" s="19">
        <f t="shared" si="10"/>
        <v>161</v>
      </c>
      <c r="J17" s="19">
        <f t="shared" ref="J17:AA17" si="11">IF(AND($H$16="Yes",J10&gt;=$K$16),1-$N$16,1)*(1-$E$16)*J10</f>
        <v>112.5</v>
      </c>
      <c r="K17" s="19">
        <f>IF(AND($H$16="Yes",K10&gt;=$K$16),1-$N$16,1)*(1-$E$16)*K10</f>
        <v>62.500000000000021</v>
      </c>
      <c r="L17" s="19">
        <f t="shared" si="11"/>
        <v>58.394160583941627</v>
      </c>
      <c r="M17" s="19">
        <f t="shared" si="11"/>
        <v>61.538461538461569</v>
      </c>
      <c r="N17" s="19">
        <f t="shared" si="11"/>
        <v>56.910569105691089</v>
      </c>
      <c r="O17" s="19">
        <f>IF(AND($H$16="Yes",O10&gt;=$K$16),1-$N$16,1)*(1-$E$16)*O10</f>
        <v>33.333333333333336</v>
      </c>
      <c r="P17" s="19">
        <f t="shared" si="11"/>
        <v>16.666666666666668</v>
      </c>
      <c r="Q17" s="19">
        <f t="shared" si="11"/>
        <v>16.666666666666668</v>
      </c>
      <c r="R17" s="19">
        <f t="shared" si="11"/>
        <v>16.666666666666668</v>
      </c>
      <c r="S17" s="19">
        <f t="shared" si="11"/>
        <v>0</v>
      </c>
      <c r="T17" s="19">
        <f t="shared" si="11"/>
        <v>0</v>
      </c>
      <c r="U17" s="19">
        <f t="shared" si="11"/>
        <v>0</v>
      </c>
      <c r="V17" s="19">
        <f t="shared" si="11"/>
        <v>0</v>
      </c>
      <c r="W17" s="19">
        <f t="shared" si="11"/>
        <v>0</v>
      </c>
      <c r="X17" s="19">
        <f t="shared" si="11"/>
        <v>0</v>
      </c>
      <c r="Y17" s="19">
        <f t="shared" si="11"/>
        <v>0</v>
      </c>
      <c r="Z17" s="19">
        <f t="shared" si="11"/>
        <v>0</v>
      </c>
      <c r="AA17" s="19">
        <f t="shared" si="11"/>
        <v>0</v>
      </c>
      <c r="AB17" s="52">
        <f>SUM(C17:AA17)</f>
        <v>889.33901615329535</v>
      </c>
      <c r="AC17" s="52">
        <f>MAX(C17:AA17)</f>
        <v>161</v>
      </c>
    </row>
    <row r="18" spans="1:29" x14ac:dyDescent="0.35">
      <c r="A18" s="6" t="s">
        <v>1</v>
      </c>
      <c r="B18" s="6"/>
      <c r="C18" s="19">
        <f t="shared" ref="C18:AA18" si="12">IF(AND($H$16="Yes",C11&gt;=$K$16),1-$N$16,1)*(1-$E$16)*C11</f>
        <v>20</v>
      </c>
      <c r="D18" s="19">
        <f t="shared" si="12"/>
        <v>20.725388601036268</v>
      </c>
      <c r="E18" s="19">
        <f t="shared" si="12"/>
        <v>21.505376344086024</v>
      </c>
      <c r="F18" s="19">
        <f t="shared" si="12"/>
        <v>39.106145251396654</v>
      </c>
      <c r="G18" s="19">
        <f t="shared" si="12"/>
        <v>52.325581395348841</v>
      </c>
      <c r="H18" s="19">
        <f t="shared" si="12"/>
        <v>112.5</v>
      </c>
      <c r="I18" s="19">
        <f t="shared" si="12"/>
        <v>56.962025316455708</v>
      </c>
      <c r="J18" s="19">
        <f t="shared" si="12"/>
        <v>52.980132450331141</v>
      </c>
      <c r="K18" s="19">
        <f t="shared" si="12"/>
        <v>55.555555555555571</v>
      </c>
      <c r="L18" s="19">
        <f t="shared" si="12"/>
        <v>51.094890510948929</v>
      </c>
      <c r="M18" s="19">
        <f t="shared" si="12"/>
        <v>30.769230769230784</v>
      </c>
      <c r="N18" s="19">
        <f t="shared" si="12"/>
        <v>16.260162601626025</v>
      </c>
      <c r="O18" s="19">
        <f t="shared" si="12"/>
        <v>16.666666666666668</v>
      </c>
      <c r="P18" s="19">
        <f t="shared" si="12"/>
        <v>16.666666666666668</v>
      </c>
      <c r="Q18" s="19">
        <f t="shared" si="12"/>
        <v>0</v>
      </c>
      <c r="R18" s="19">
        <f t="shared" si="12"/>
        <v>0</v>
      </c>
      <c r="S18" s="19">
        <f t="shared" si="12"/>
        <v>0</v>
      </c>
      <c r="T18" s="19">
        <f t="shared" si="12"/>
        <v>0</v>
      </c>
      <c r="U18" s="19">
        <f t="shared" si="12"/>
        <v>0</v>
      </c>
      <c r="V18" s="19">
        <f t="shared" si="12"/>
        <v>0</v>
      </c>
      <c r="W18" s="19">
        <f t="shared" si="12"/>
        <v>0</v>
      </c>
      <c r="X18" s="19">
        <f t="shared" si="12"/>
        <v>0</v>
      </c>
      <c r="Y18" s="19">
        <f t="shared" si="12"/>
        <v>0</v>
      </c>
      <c r="Z18" s="19">
        <f t="shared" si="12"/>
        <v>0</v>
      </c>
      <c r="AA18" s="19">
        <f t="shared" si="12"/>
        <v>0</v>
      </c>
      <c r="AB18" s="52">
        <f>SUM(C18:AA18)</f>
        <v>563.11782212934918</v>
      </c>
      <c r="AC18" s="52">
        <f>MAX(C18:AA18)</f>
        <v>112.5</v>
      </c>
    </row>
    <row r="19" spans="1:29" ht="26.4" customHeight="1" x14ac:dyDescent="0.35">
      <c r="A19" s="12"/>
      <c r="B19" s="12"/>
      <c r="C19" s="20" t="s">
        <v>9</v>
      </c>
      <c r="D19" s="12"/>
      <c r="E19" s="12"/>
      <c r="F19" s="12"/>
      <c r="G19" s="12"/>
      <c r="H19" s="51"/>
      <c r="I19" s="12"/>
      <c r="J19" s="12"/>
      <c r="K19" s="12"/>
      <c r="L19" s="12"/>
      <c r="M19" s="12"/>
      <c r="N19" s="12"/>
      <c r="O19" s="12"/>
      <c r="P19" s="12"/>
      <c r="Q19" s="12"/>
      <c r="R19" s="12"/>
      <c r="S19" s="12"/>
      <c r="T19" s="12"/>
      <c r="U19" s="12"/>
      <c r="V19" s="12"/>
      <c r="W19" s="12"/>
      <c r="X19" s="12"/>
      <c r="Y19" s="12"/>
      <c r="Z19" s="12"/>
      <c r="AA19" s="12"/>
    </row>
    <row r="20" spans="1:29" x14ac:dyDescent="0.35">
      <c r="A20" s="6" t="s">
        <v>0</v>
      </c>
      <c r="B20" s="6"/>
      <c r="C20" s="6"/>
      <c r="D20" s="6"/>
      <c r="E20" s="6"/>
      <c r="F20" s="6"/>
      <c r="G20" s="6"/>
      <c r="H20" s="6"/>
      <c r="I20" s="6"/>
      <c r="J20" s="6"/>
      <c r="K20" s="6"/>
      <c r="L20" s="6"/>
      <c r="M20" s="6"/>
      <c r="N20" s="6"/>
      <c r="O20" s="6"/>
      <c r="P20" s="6"/>
      <c r="Q20" s="6"/>
      <c r="R20" s="6"/>
      <c r="S20" s="6"/>
      <c r="T20" s="6"/>
      <c r="U20" s="25"/>
      <c r="V20" s="25"/>
      <c r="W20" s="25"/>
      <c r="X20" s="25"/>
      <c r="Y20" s="25"/>
      <c r="Z20" s="25"/>
      <c r="AA20" s="25"/>
    </row>
    <row r="21" spans="1:29" x14ac:dyDescent="0.35">
      <c r="A21" s="6"/>
      <c r="B21" s="6" t="s">
        <v>4</v>
      </c>
      <c r="C21" s="16">
        <f t="shared" ref="C21:AA21" si="13">MIN(C17*C$8,100)</f>
        <v>20</v>
      </c>
      <c r="D21" s="16">
        <f t="shared" si="13"/>
        <v>20</v>
      </c>
      <c r="E21" s="16">
        <f t="shared" si="13"/>
        <v>20</v>
      </c>
      <c r="F21" s="16">
        <f>MIN(F17*F$8,100)</f>
        <v>35</v>
      </c>
      <c r="G21" s="16">
        <f t="shared" si="13"/>
        <v>45</v>
      </c>
      <c r="H21" s="16">
        <f t="shared" si="13"/>
        <v>100</v>
      </c>
      <c r="I21" s="16">
        <f t="shared" si="13"/>
        <v>100</v>
      </c>
      <c r="J21" s="16">
        <f t="shared" si="13"/>
        <v>84.937499999999972</v>
      </c>
      <c r="K21" s="16">
        <f t="shared" si="13"/>
        <v>45</v>
      </c>
      <c r="L21" s="16">
        <f t="shared" si="13"/>
        <v>40</v>
      </c>
      <c r="M21" s="16">
        <f t="shared" si="13"/>
        <v>40</v>
      </c>
      <c r="N21" s="16">
        <f t="shared" si="13"/>
        <v>35</v>
      </c>
      <c r="O21" s="16">
        <f>MIN(O17*O$8,100)</f>
        <v>20</v>
      </c>
      <c r="P21" s="16">
        <f>MIN(P17*P$8,100)</f>
        <v>10</v>
      </c>
      <c r="Q21" s="16">
        <f t="shared" si="13"/>
        <v>10</v>
      </c>
      <c r="R21" s="16">
        <f t="shared" si="13"/>
        <v>10</v>
      </c>
      <c r="S21" s="16">
        <f t="shared" si="13"/>
        <v>0</v>
      </c>
      <c r="T21" s="16">
        <f t="shared" si="13"/>
        <v>0</v>
      </c>
      <c r="U21" s="16">
        <f t="shared" si="13"/>
        <v>0</v>
      </c>
      <c r="V21" s="16">
        <f t="shared" si="13"/>
        <v>0</v>
      </c>
      <c r="W21" s="16">
        <f t="shared" si="13"/>
        <v>0</v>
      </c>
      <c r="X21" s="16">
        <f t="shared" si="13"/>
        <v>0</v>
      </c>
      <c r="Y21" s="16">
        <f t="shared" si="13"/>
        <v>0</v>
      </c>
      <c r="Z21" s="16">
        <f t="shared" si="13"/>
        <v>0</v>
      </c>
      <c r="AA21" s="16">
        <f t="shared" si="13"/>
        <v>0</v>
      </c>
    </row>
    <row r="22" spans="1:29" x14ac:dyDescent="0.35">
      <c r="A22" s="6"/>
      <c r="B22" s="6" t="s">
        <v>5</v>
      </c>
      <c r="C22" s="16">
        <f>IF(C$17*C$8&lt;69.9,C$17*C$8*0.72,'Host L2 --&gt; DEFOL relationship'!$C$39/(1+EXP(-'Host L2 --&gt; DEFOL relationship'!$C$38*(C$17*C$8-'Host L2 --&gt; DEFOL relationship'!$C$40))))</f>
        <v>14.399999999999999</v>
      </c>
      <c r="D22" s="16">
        <f>IF(D$17*D$8&lt;69.9,D$17*D$8*0.72,'Host L2 --&gt; DEFOL relationship'!$C$39/(1+EXP(-'Host L2 --&gt; DEFOL relationship'!$C$38*(D$17*D$8-'Host L2 --&gt; DEFOL relationship'!$C$40))))</f>
        <v>14.399999999999999</v>
      </c>
      <c r="E22" s="16">
        <f>IF(E$17*E$8&lt;69.9,E$17*E$8*0.72,'Host L2 --&gt; DEFOL relationship'!$C$39/(1+EXP(-'Host L2 --&gt; DEFOL relationship'!$C$38*(E$17*E$8-'Host L2 --&gt; DEFOL relationship'!$C$40))))</f>
        <v>14.399999999999999</v>
      </c>
      <c r="F22" s="16">
        <f>IF(F$17*F$8&lt;69.9,F$17*F$8*0.72,'Host L2 --&gt; DEFOL relationship'!$C$39/(1+EXP(-'Host L2 --&gt; DEFOL relationship'!$C$38*(F$17*F$8-'Host L2 --&gt; DEFOL relationship'!$C$40))))</f>
        <v>25.2</v>
      </c>
      <c r="G22" s="16">
        <f>IF(G$17*G$8&lt;69.9,G$17*G$8*0.72,'Host L2 --&gt; DEFOL relationship'!$C$39/(1+EXP(-'Host L2 --&gt; DEFOL relationship'!$C$38*(G$17*G$8-'Host L2 --&gt; DEFOL relationship'!$C$40))))</f>
        <v>32.4</v>
      </c>
      <c r="H22" s="16">
        <f>IF(H$17*H$8&lt;69.9,H$17*H$8*0.72,'Host L2 --&gt; DEFOL relationship'!$C$39/(1+EXP(-'Host L2 --&gt; DEFOL relationship'!$C$38*(H$17*H$8-'Host L2 --&gt; DEFOL relationship'!$C$40))))</f>
        <v>88.116406603423272</v>
      </c>
      <c r="I22" s="16">
        <f>IF(I$17*I$8&lt;69.9,I$17*I$8*0.72,'Host L2 --&gt; DEFOL relationship'!$C$39/(1+EXP(-'Host L2 --&gt; DEFOL relationship'!$C$38*(I$17*I$8-'Host L2 --&gt; DEFOL relationship'!$C$40))))</f>
        <v>92.326794909042363</v>
      </c>
      <c r="J22" s="16">
        <f>IF(J$17*J$8&lt;69.9,J$17*J$8*0.72,'Host L2 --&gt; DEFOL relationship'!$C$39/(1+EXP(-'Host L2 --&gt; DEFOL relationship'!$C$38*(J$17*J$8-'Host L2 --&gt; DEFOL relationship'!$C$40))))</f>
        <v>68.943945306077339</v>
      </c>
      <c r="K22" s="16">
        <f>IF(K$17*K$8&lt;69.9,K$17*K$8*0.72,'Host L2 --&gt; DEFOL relationship'!$C$39/(1+EXP(-'Host L2 --&gt; DEFOL relationship'!$C$38*(K$17*K$8-'Host L2 --&gt; DEFOL relationship'!$C$40))))</f>
        <v>32.4</v>
      </c>
      <c r="L22" s="16">
        <f>IF(L$17*L$8&lt;69.9,L$17*L$8*0.72,'Host L2 --&gt; DEFOL relationship'!$C$39/(1+EXP(-'Host L2 --&gt; DEFOL relationship'!$C$38*(L$17*L$8-'Host L2 --&gt; DEFOL relationship'!$C$40))))</f>
        <v>28.799999999999997</v>
      </c>
      <c r="M22" s="16">
        <f>IF(M$17*M$8&lt;69.9,M$17*M$8*0.72,'Host L2 --&gt; DEFOL relationship'!$C$39/(1+EXP(-'Host L2 --&gt; DEFOL relationship'!$C$38*(M$17*M$8-'Host L2 --&gt; DEFOL relationship'!$C$40))))</f>
        <v>28.799999999999997</v>
      </c>
      <c r="N22" s="16">
        <f>IF(N$17*N$8&lt;69.9,N$17*N$8*0.72,'Host L2 --&gt; DEFOL relationship'!$C$39/(1+EXP(-'Host L2 --&gt; DEFOL relationship'!$C$38*(N$17*N$8-'Host L2 --&gt; DEFOL relationship'!$C$40))))</f>
        <v>25.2</v>
      </c>
      <c r="O22" s="16">
        <f>IF(O$17*O$8&lt;69.9,O$17*O$8*0.72,'Host L2 --&gt; DEFOL relationship'!$C$39/(1+EXP(-'Host L2 --&gt; DEFOL relationship'!$C$38*(O$17*O$8-'Host L2 --&gt; DEFOL relationship'!$C$40))))</f>
        <v>14.399999999999999</v>
      </c>
      <c r="P22" s="16">
        <f>IF(P$17*P$8&lt;69.9,P$17*P$8*0.72,'Host L2 --&gt; DEFOL relationship'!$C$39/(1+EXP(-'Host L2 --&gt; DEFOL relationship'!$C$38*(P$17*P$8-'Host L2 --&gt; DEFOL relationship'!$C$40))))</f>
        <v>7.1999999999999993</v>
      </c>
      <c r="Q22" s="16">
        <f>IF(Q$17*Q$8&lt;69.9,Q$17*Q$8*0.72,'Host L2 --&gt; DEFOL relationship'!$C$39/(1+EXP(-'Host L2 --&gt; DEFOL relationship'!$C$38*(Q$17*Q$8-'Host L2 --&gt; DEFOL relationship'!$C$40))))</f>
        <v>7.1999999999999993</v>
      </c>
      <c r="R22" s="16">
        <f>IF(R$17*R$8&lt;69.9,R$17*R$8*0.72,'Host L2 --&gt; DEFOL relationship'!$C$39/(1+EXP(-'Host L2 --&gt; DEFOL relationship'!$C$38*(R$17*R$8-'Host L2 --&gt; DEFOL relationship'!$C$40))))</f>
        <v>7.1999999999999993</v>
      </c>
      <c r="S22" s="16">
        <f>IF(S$17*S$8&lt;69.9,S$17*S$8*0.72,'Host L2 --&gt; DEFOL relationship'!$C$39/(1+EXP(-'Host L2 --&gt; DEFOL relationship'!$C$38*(S$17*S$8-'Host L2 --&gt; DEFOL relationship'!$C$40))))</f>
        <v>0</v>
      </c>
      <c r="T22" s="16">
        <f>IF(T$17*T$8&lt;69.9,T$17*T$8*0.72,'Host L2 --&gt; DEFOL relationship'!$C$39/(1+EXP(-'Host L2 --&gt; DEFOL relationship'!$C$38*(T$17*T$8-'Host L2 --&gt; DEFOL relationship'!$C$40))))</f>
        <v>0</v>
      </c>
      <c r="U22" s="16">
        <f>IF(U$17*U$8&lt;69.9,U$17*U$8*0.72,'Host L2 --&gt; DEFOL relationship'!$C$39/(1+EXP(-'Host L2 --&gt; DEFOL relationship'!$C$38*(U$17*U$8-'Host L2 --&gt; DEFOL relationship'!$C$40))))</f>
        <v>0</v>
      </c>
      <c r="V22" s="16">
        <f>IF(V$17*V$8&lt;69.9,V$17*V$8*0.72,'Host L2 --&gt; DEFOL relationship'!$C$39/(1+EXP(-'Host L2 --&gt; DEFOL relationship'!$C$38*(V$17*V$8-'Host L2 --&gt; DEFOL relationship'!$C$40))))</f>
        <v>0</v>
      </c>
      <c r="W22" s="16">
        <f>IF(W$17*W$8&lt;69.9,W$17*W$8*0.72,'Host L2 --&gt; DEFOL relationship'!$C$39/(1+EXP(-'Host L2 --&gt; DEFOL relationship'!$C$38*(W$17*W$8-'Host L2 --&gt; DEFOL relationship'!$C$40))))</f>
        <v>0</v>
      </c>
      <c r="X22" s="16">
        <f>IF(X$17*X$8&lt;69.9,X$17*X$8*0.72,'Host L2 --&gt; DEFOL relationship'!$C$39/(1+EXP(-'Host L2 --&gt; DEFOL relationship'!$C$38*(X$17*X$8-'Host L2 --&gt; DEFOL relationship'!$C$40))))</f>
        <v>0</v>
      </c>
      <c r="Y22" s="16">
        <f>IF(Y$17*Y$8&lt;69.9,Y$17*Y$8*0.72,'Host L2 --&gt; DEFOL relationship'!$C$39/(1+EXP(-'Host L2 --&gt; DEFOL relationship'!$C$38*(Y$17*Y$8-'Host L2 --&gt; DEFOL relationship'!$C$40))))</f>
        <v>0</v>
      </c>
      <c r="Z22" s="16">
        <f>IF(Z$17*Z$8&lt;69.9,Z$17*Z$8*0.72,'Host L2 --&gt; DEFOL relationship'!$C$39/(1+EXP(-'Host L2 --&gt; DEFOL relationship'!$C$38*(Z$17*Z$8-'Host L2 --&gt; DEFOL relationship'!$C$40))))</f>
        <v>0</v>
      </c>
      <c r="AA22" s="16">
        <f>IF(AA$17*AA$8&lt;69.9,AA$17*AA$8*0.72,'Host L2 --&gt; DEFOL relationship'!$C$39/(1+EXP(-'Host L2 --&gt; DEFOL relationship'!$C$38*(AA$17*AA$8-'Host L2 --&gt; DEFOL relationship'!$C$40))))</f>
        <v>0</v>
      </c>
    </row>
    <row r="23" spans="1:29" x14ac:dyDescent="0.35">
      <c r="A23" s="6"/>
      <c r="B23" s="6" t="s">
        <v>6</v>
      </c>
      <c r="C23" s="16">
        <f>IF(C$17*C$8&lt;69.9,C$17*C$8*0.43,'Host L2 --&gt; DEFOL relationship'!$D$39/(1+EXP(-'Host L2 --&gt; DEFOL relationship'!$D$38*(C$17*C$8-'Host L2 --&gt; DEFOL relationship'!$D$40))))</f>
        <v>8.6</v>
      </c>
      <c r="D23" s="16">
        <f>IF(D$17*D$8&lt;69.9,D$17*D$8*0.43,'Host L2 --&gt; DEFOL relationship'!$D$39/(1+EXP(-'Host L2 --&gt; DEFOL relationship'!$D$38*(D$17*D$8-'Host L2 --&gt; DEFOL relationship'!$D$40))))</f>
        <v>8.6</v>
      </c>
      <c r="E23" s="16">
        <f>IF(E$17*E$8&lt;69.9,E$17*E$8*0.43,'Host L2 --&gt; DEFOL relationship'!$D$39/(1+EXP(-'Host L2 --&gt; DEFOL relationship'!$D$38*(E$17*E$8-'Host L2 --&gt; DEFOL relationship'!$D$40))))</f>
        <v>8.6</v>
      </c>
      <c r="F23" s="16">
        <f>IF(F$17*F$8&lt;69.9,F$17*F$8*0.43,'Host L2 --&gt; DEFOL relationship'!$D$39/(1+EXP(-'Host L2 --&gt; DEFOL relationship'!$D$38*(F$17*F$8-'Host L2 --&gt; DEFOL relationship'!$D$40))))</f>
        <v>15.049999999999999</v>
      </c>
      <c r="G23" s="16">
        <f>IF(G$17*G$8&lt;69.9,G$17*G$8*0.43,'Host L2 --&gt; DEFOL relationship'!$D$39/(1+EXP(-'Host L2 --&gt; DEFOL relationship'!$D$38*(G$17*G$8-'Host L2 --&gt; DEFOL relationship'!$D$40))))</f>
        <v>19.350000000000001</v>
      </c>
      <c r="H23" s="16">
        <f>IF(H$17*H$8&lt;69.9,H$17*H$8*0.43,'Host L2 --&gt; DEFOL relationship'!$D$39/(1+EXP(-'Host L2 --&gt; DEFOL relationship'!$D$38*(H$17*H$8-'Host L2 --&gt; DEFOL relationship'!$D$40))))</f>
        <v>66.722629451814015</v>
      </c>
      <c r="I23" s="16">
        <f>IF(I$17*I$8&lt;69.9,I$17*I$8*0.43,'Host L2 --&gt; DEFOL relationship'!$D$39/(1+EXP(-'Host L2 --&gt; DEFOL relationship'!$D$38*(I$17*I$8-'Host L2 --&gt; DEFOL relationship'!$D$40))))</f>
        <v>73.26594447144565</v>
      </c>
      <c r="J23" s="16">
        <f>IF(J$17*J$8&lt;69.9,J$17*J$8*0.43,'Host L2 --&gt; DEFOL relationship'!$D$39/(1+EXP(-'Host L2 --&gt; DEFOL relationship'!$D$38*(J$17*J$8-'Host L2 --&gt; DEFOL relationship'!$D$40))))</f>
        <v>44.950781269626582</v>
      </c>
      <c r="K23" s="16">
        <f>IF(K$17*K$8&lt;69.9,K$17*K$8*0.43,'Host L2 --&gt; DEFOL relationship'!$D$39/(1+EXP(-'Host L2 --&gt; DEFOL relationship'!$D$38*(K$17*K$8-'Host L2 --&gt; DEFOL relationship'!$D$40))))</f>
        <v>19.350000000000001</v>
      </c>
      <c r="L23" s="16">
        <f>IF(L$17*L$8&lt;69.9,L$17*L$8*0.43,'Host L2 --&gt; DEFOL relationship'!$D$39/(1+EXP(-'Host L2 --&gt; DEFOL relationship'!$D$38*(L$17*L$8-'Host L2 --&gt; DEFOL relationship'!$D$40))))</f>
        <v>17.2</v>
      </c>
      <c r="M23" s="16">
        <f>IF(M$17*M$8&lt;69.9,M$17*M$8*0.43,'Host L2 --&gt; DEFOL relationship'!$D$39/(1+EXP(-'Host L2 --&gt; DEFOL relationship'!$D$38*(M$17*M$8-'Host L2 --&gt; DEFOL relationship'!$D$40))))</f>
        <v>17.2</v>
      </c>
      <c r="N23" s="16">
        <f>IF(N$17*N$8&lt;69.9,N$17*N$8*0.43,'Host L2 --&gt; DEFOL relationship'!$D$39/(1+EXP(-'Host L2 --&gt; DEFOL relationship'!$D$38*(N$17*N$8-'Host L2 --&gt; DEFOL relationship'!$D$40))))</f>
        <v>15.049999999999999</v>
      </c>
      <c r="O23" s="16">
        <f>IF(O$17*O$8&lt;69.9,O$17*O$8*0.43,'Host L2 --&gt; DEFOL relationship'!$D$39/(1+EXP(-'Host L2 --&gt; DEFOL relationship'!$D$38*(O$17*O$8-'Host L2 --&gt; DEFOL relationship'!$D$40))))</f>
        <v>8.6</v>
      </c>
      <c r="P23" s="16">
        <f>IF(P$17*P$8&lt;69.9,P$17*P$8*0.43,'Host L2 --&gt; DEFOL relationship'!$D$39/(1+EXP(-'Host L2 --&gt; DEFOL relationship'!$D$38*(P$17*P$8-'Host L2 --&gt; DEFOL relationship'!$D$40))))</f>
        <v>4.3</v>
      </c>
      <c r="Q23" s="16">
        <f>IF(Q$17*Q$8&lt;69.9,Q$17*Q$8*0.43,'Host L2 --&gt; DEFOL relationship'!$D$39/(1+EXP(-'Host L2 --&gt; DEFOL relationship'!$D$38*(Q$17*Q$8-'Host L2 --&gt; DEFOL relationship'!$D$40))))</f>
        <v>4.3</v>
      </c>
      <c r="R23" s="16">
        <f>IF(R$17*R$8&lt;69.9,R$17*R$8*0.43,'Host L2 --&gt; DEFOL relationship'!$D$39/(1+EXP(-'Host L2 --&gt; DEFOL relationship'!$D$38*(R$17*R$8-'Host L2 --&gt; DEFOL relationship'!$D$40))))</f>
        <v>4.3</v>
      </c>
      <c r="S23" s="16">
        <f>IF(S$17*S$8&lt;69.9,S$17*S$8*0.43,'Host L2 --&gt; DEFOL relationship'!$D$39/(1+EXP(-'Host L2 --&gt; DEFOL relationship'!$D$38*(S$17*S$8-'Host L2 --&gt; DEFOL relationship'!$D$40))))</f>
        <v>0</v>
      </c>
      <c r="T23" s="16">
        <f>IF(T$17*T$8&lt;69.9,T$17*T$8*0.43,'Host L2 --&gt; DEFOL relationship'!$D$39/(1+EXP(-'Host L2 --&gt; DEFOL relationship'!$D$38*(T$17*T$8-'Host L2 --&gt; DEFOL relationship'!$D$40))))</f>
        <v>0</v>
      </c>
      <c r="U23" s="16">
        <f>IF(U$17*U$8&lt;69.9,U$17*U$8*0.43,'Host L2 --&gt; DEFOL relationship'!$D$39/(1+EXP(-'Host L2 --&gt; DEFOL relationship'!$D$38*(U$17*U$8-'Host L2 --&gt; DEFOL relationship'!$D$40))))</f>
        <v>0</v>
      </c>
      <c r="V23" s="16">
        <f>IF(V$17*V$8&lt;69.9,V$17*V$8*0.43,'Host L2 --&gt; DEFOL relationship'!$D$39/(1+EXP(-'Host L2 --&gt; DEFOL relationship'!$D$38*(V$17*V$8-'Host L2 --&gt; DEFOL relationship'!$D$40))))</f>
        <v>0</v>
      </c>
      <c r="W23" s="16">
        <f>IF(W$17*W$8&lt;69.9,W$17*W$8*0.43,'Host L2 --&gt; DEFOL relationship'!$D$39/(1+EXP(-'Host L2 --&gt; DEFOL relationship'!$D$38*(W$17*W$8-'Host L2 --&gt; DEFOL relationship'!$D$40))))</f>
        <v>0</v>
      </c>
      <c r="X23" s="16">
        <f>IF(X$17*X$8&lt;69.9,X$17*X$8*0.43,'Host L2 --&gt; DEFOL relationship'!$D$39/(1+EXP(-'Host L2 --&gt; DEFOL relationship'!$D$38*(X$17*X$8-'Host L2 --&gt; DEFOL relationship'!$D$40))))</f>
        <v>0</v>
      </c>
      <c r="Y23" s="16">
        <f>IF(Y$17*Y$8&lt;69.9,Y$17*Y$8*0.43,'Host L2 --&gt; DEFOL relationship'!$D$39/(1+EXP(-'Host L2 --&gt; DEFOL relationship'!$D$38*(Y$17*Y$8-'Host L2 --&gt; DEFOL relationship'!$D$40))))</f>
        <v>0</v>
      </c>
      <c r="Z23" s="16">
        <f>IF(Z$17*Z$8&lt;69.9,Z$17*Z$8*0.43,'Host L2 --&gt; DEFOL relationship'!$D$39/(1+EXP(-'Host L2 --&gt; DEFOL relationship'!$D$38*(Z$17*Z$8-'Host L2 --&gt; DEFOL relationship'!$D$40))))</f>
        <v>0</v>
      </c>
      <c r="AA23" s="16">
        <f>IF(AA$17*AA$8&lt;69.9,AA$17*AA$8*0.43,'Host L2 --&gt; DEFOL relationship'!$D$39/(1+EXP(-'Host L2 --&gt; DEFOL relationship'!$D$38*(AA$17*AA$8-'Host L2 --&gt; DEFOL relationship'!$D$40))))</f>
        <v>0</v>
      </c>
    </row>
    <row r="24" spans="1:29" x14ac:dyDescent="0.35">
      <c r="A24" s="6"/>
      <c r="B24" s="6" t="s">
        <v>7</v>
      </c>
      <c r="C24" s="16">
        <f>IF(C$17*C$8&lt;69.9,C$17*C$8*0.28,'Host L2 --&gt; DEFOL relationship'!$E$39/(1+EXP(-'Host L2 --&gt; DEFOL relationship'!$E$38*(C$17*C$8-'Host L2 --&gt; DEFOL relationship'!$E$40))))</f>
        <v>5.6000000000000005</v>
      </c>
      <c r="D24" s="16">
        <f>IF(D$17*D$8&lt;69.9,D$17*D$8*0.28,'Host L2 --&gt; DEFOL relationship'!$E$39/(1+EXP(-'Host L2 --&gt; DEFOL relationship'!$E$38*(D$17*D$8-'Host L2 --&gt; DEFOL relationship'!$E$40))))</f>
        <v>5.6000000000000005</v>
      </c>
      <c r="E24" s="16">
        <f>IF(E$17*E$8&lt;69.9,E$17*E$8*0.28,'Host L2 --&gt; DEFOL relationship'!$E$39/(1+EXP(-'Host L2 --&gt; DEFOL relationship'!$E$38*(E$17*E$8-'Host L2 --&gt; DEFOL relationship'!$E$40))))</f>
        <v>5.6000000000000005</v>
      </c>
      <c r="F24" s="16">
        <f>IF(F$17*F$8&lt;69.9,F$17*F$8*0.28,'Host L2 --&gt; DEFOL relationship'!$E$39/(1+EXP(-'Host L2 --&gt; DEFOL relationship'!$E$38*(F$17*F$8-'Host L2 --&gt; DEFOL relationship'!$E$40))))</f>
        <v>9.8000000000000007</v>
      </c>
      <c r="G24" s="16">
        <f>IF(G$17*G$8&lt;69.9,G$17*G$8*0.28,'Host L2 --&gt; DEFOL relationship'!$E$39/(1+EXP(-'Host L2 --&gt; DEFOL relationship'!$E$38*(G$17*G$8-'Host L2 --&gt; DEFOL relationship'!$E$40))))</f>
        <v>12.600000000000001</v>
      </c>
      <c r="H24" s="16">
        <f>IF(H$17*H$8&lt;69.9,H$17*H$8*0.28,'Host L2 --&gt; DEFOL relationship'!$E$39/(1+EXP(-'Host L2 --&gt; DEFOL relationship'!$E$38*(H$17*H$8-'Host L2 --&gt; DEFOL relationship'!$E$40))))</f>
        <v>50.322488607853082</v>
      </c>
      <c r="I24" s="16">
        <f>IF(I$17*I$8&lt;69.9,I$17*I$8*0.28,'Host L2 --&gt; DEFOL relationship'!$E$39/(1+EXP(-'Host L2 --&gt; DEFOL relationship'!$E$38*(I$17*I$8-'Host L2 --&gt; DEFOL relationship'!$E$40))))</f>
        <v>57.71575082050434</v>
      </c>
      <c r="J24" s="16">
        <f>IF(J$17*J$8&lt;69.9,J$17*J$8*0.28,'Host L2 --&gt; DEFOL relationship'!$E$39/(1+EXP(-'Host L2 --&gt; DEFOL relationship'!$E$38*(J$17*J$8-'Host L2 --&gt; DEFOL relationship'!$E$40))))</f>
        <v>29.693847803650744</v>
      </c>
      <c r="K24" s="16">
        <f>IF(K$17*K$8&lt;69.9,K$17*K$8*0.28,'Host L2 --&gt; DEFOL relationship'!$E$39/(1+EXP(-'Host L2 --&gt; DEFOL relationship'!$E$38*(K$17*K$8-'Host L2 --&gt; DEFOL relationship'!$E$40))))</f>
        <v>12.600000000000001</v>
      </c>
      <c r="L24" s="16">
        <f>IF(L$17*L$8&lt;69.9,L$17*L$8*0.28,'Host L2 --&gt; DEFOL relationship'!$E$39/(1+EXP(-'Host L2 --&gt; DEFOL relationship'!$E$38*(L$17*L$8-'Host L2 --&gt; DEFOL relationship'!$E$40))))</f>
        <v>11.200000000000001</v>
      </c>
      <c r="M24" s="16">
        <f>IF(M$17*M$8&lt;69.9,M$17*M$8*0.28,'Host L2 --&gt; DEFOL relationship'!$E$39/(1+EXP(-'Host L2 --&gt; DEFOL relationship'!$E$38*(M$17*M$8-'Host L2 --&gt; DEFOL relationship'!$E$40))))</f>
        <v>11.200000000000001</v>
      </c>
      <c r="N24" s="16">
        <f>IF(N$17*N$8&lt;69.9,N$17*N$8*0.28,'Host L2 --&gt; DEFOL relationship'!$E$39/(1+EXP(-'Host L2 --&gt; DEFOL relationship'!$E$38*(N$17*N$8-'Host L2 --&gt; DEFOL relationship'!$E$40))))</f>
        <v>9.8000000000000007</v>
      </c>
      <c r="O24" s="16">
        <f>IF(O$17*O$8&lt;69.9,O$17*O$8*0.28,'Host L2 --&gt; DEFOL relationship'!$E$39/(1+EXP(-'Host L2 --&gt; DEFOL relationship'!$E$38*(O$17*O$8-'Host L2 --&gt; DEFOL relationship'!$E$40))))</f>
        <v>5.6000000000000005</v>
      </c>
      <c r="P24" s="16">
        <f>IF(P$17*P$8&lt;69.9,P$17*P$8*0.28,'Host L2 --&gt; DEFOL relationship'!$E$39/(1+EXP(-'Host L2 --&gt; DEFOL relationship'!$E$38*(P$17*P$8-'Host L2 --&gt; DEFOL relationship'!$E$40))))</f>
        <v>2.8000000000000003</v>
      </c>
      <c r="Q24" s="16">
        <f>IF(Q$17*Q$8&lt;69.9,Q$17*Q$8*0.28,'Host L2 --&gt; DEFOL relationship'!$E$39/(1+EXP(-'Host L2 --&gt; DEFOL relationship'!$E$38*(Q$17*Q$8-'Host L2 --&gt; DEFOL relationship'!$E$40))))</f>
        <v>2.8000000000000003</v>
      </c>
      <c r="R24" s="16">
        <f>IF(R$17*R$8&lt;69.9,R$17*R$8*0.28,'Host L2 --&gt; DEFOL relationship'!$E$39/(1+EXP(-'Host L2 --&gt; DEFOL relationship'!$E$38*(R$17*R$8-'Host L2 --&gt; DEFOL relationship'!$E$40))))</f>
        <v>2.8000000000000003</v>
      </c>
      <c r="S24" s="16">
        <f>IF(S$17*S$8&lt;69.9,S$17*S$8*0.28,'Host L2 --&gt; DEFOL relationship'!$E$39/(1+EXP(-'Host L2 --&gt; DEFOL relationship'!$E$38*(S$17*S$8-'Host L2 --&gt; DEFOL relationship'!$E$40))))</f>
        <v>0</v>
      </c>
      <c r="T24" s="16">
        <f>IF(T$17*T$8&lt;69.9,T$17*T$8*0.28,'Host L2 --&gt; DEFOL relationship'!$E$39/(1+EXP(-'Host L2 --&gt; DEFOL relationship'!$E$38*(T$17*T$8-'Host L2 --&gt; DEFOL relationship'!$E$40))))</f>
        <v>0</v>
      </c>
      <c r="U24" s="16">
        <f>IF(U$17*U$8&lt;69.9,U$17*U$8*0.28,'Host L2 --&gt; DEFOL relationship'!$E$39/(1+EXP(-'Host L2 --&gt; DEFOL relationship'!$E$38*(U$17*U$8-'Host L2 --&gt; DEFOL relationship'!$E$40))))</f>
        <v>0</v>
      </c>
      <c r="V24" s="16">
        <f>IF(V$17*V$8&lt;69.9,V$17*V$8*0.28,'Host L2 --&gt; DEFOL relationship'!$E$39/(1+EXP(-'Host L2 --&gt; DEFOL relationship'!$E$38*(V$17*V$8-'Host L2 --&gt; DEFOL relationship'!$E$40))))</f>
        <v>0</v>
      </c>
      <c r="W24" s="16">
        <f>IF(W$17*W$8&lt;69.9,W$17*W$8*0.28,'Host L2 --&gt; DEFOL relationship'!$E$39/(1+EXP(-'Host L2 --&gt; DEFOL relationship'!$E$38*(W$17*W$8-'Host L2 --&gt; DEFOL relationship'!$E$40))))</f>
        <v>0</v>
      </c>
      <c r="X24" s="16">
        <f>IF(X$17*X$8&lt;69.9,X$17*X$8*0.28,'Host L2 --&gt; DEFOL relationship'!$E$39/(1+EXP(-'Host L2 --&gt; DEFOL relationship'!$E$38*(X$17*X$8-'Host L2 --&gt; DEFOL relationship'!$E$40))))</f>
        <v>0</v>
      </c>
      <c r="Y24" s="16">
        <f>IF(Y$17*Y$8&lt;69.9,Y$17*Y$8*0.28,'Host L2 --&gt; DEFOL relationship'!$E$39/(1+EXP(-'Host L2 --&gt; DEFOL relationship'!$E$38*(Y$17*Y$8-'Host L2 --&gt; DEFOL relationship'!$E$40))))</f>
        <v>0</v>
      </c>
      <c r="Z24" s="16">
        <f>IF(Z$17*Z$8&lt;69.9,Z$17*Z$8*0.28,'Host L2 --&gt; DEFOL relationship'!$E$39/(1+EXP(-'Host L2 --&gt; DEFOL relationship'!$E$38*(Z$17*Z$8-'Host L2 --&gt; DEFOL relationship'!$E$40))))</f>
        <v>0</v>
      </c>
      <c r="AA24" s="16">
        <f>IF(AA$17*AA$8&lt;69.9,AA$17*AA$8*0.28,'Host L2 --&gt; DEFOL relationship'!$E$39/(1+EXP(-'Host L2 --&gt; DEFOL relationship'!$E$38*(AA$17*AA$8-'Host L2 --&gt; DEFOL relationship'!$E$40))))</f>
        <v>0</v>
      </c>
    </row>
    <row r="25" spans="1:29" x14ac:dyDescent="0.35">
      <c r="A25" s="6" t="s">
        <v>1</v>
      </c>
      <c r="B25" s="6"/>
      <c r="C25" s="16"/>
      <c r="D25" s="16"/>
      <c r="E25" s="16"/>
      <c r="F25" s="16"/>
      <c r="G25" s="16"/>
      <c r="H25" s="16"/>
      <c r="I25" s="16"/>
      <c r="J25" s="16"/>
      <c r="K25" s="16"/>
      <c r="L25" s="16"/>
      <c r="M25" s="16"/>
      <c r="N25" s="16"/>
      <c r="O25" s="16"/>
      <c r="P25" s="16"/>
      <c r="Q25" s="16"/>
      <c r="R25" s="16"/>
      <c r="S25" s="16"/>
      <c r="T25" s="16"/>
      <c r="U25" s="16"/>
      <c r="V25" s="16"/>
      <c r="W25" s="16"/>
      <c r="X25" s="16"/>
      <c r="Y25" s="16"/>
      <c r="Z25" s="16"/>
      <c r="AA25" s="16"/>
    </row>
    <row r="26" spans="1:29" x14ac:dyDescent="0.35">
      <c r="A26" s="6"/>
      <c r="B26" s="6" t="s">
        <v>4</v>
      </c>
      <c r="C26" s="16">
        <f>MIN(C$18*C$8,100)</f>
        <v>20</v>
      </c>
      <c r="D26" s="16">
        <f t="shared" ref="D26:AA26" si="14">MIN(D$18*D$8,100)</f>
        <v>20</v>
      </c>
      <c r="E26" s="16">
        <f t="shared" si="14"/>
        <v>20</v>
      </c>
      <c r="F26" s="16">
        <f t="shared" si="14"/>
        <v>35</v>
      </c>
      <c r="G26" s="16">
        <f t="shared" si="14"/>
        <v>45</v>
      </c>
      <c r="H26" s="16">
        <f t="shared" si="14"/>
        <v>92.812499999999986</v>
      </c>
      <c r="I26" s="16">
        <f t="shared" si="14"/>
        <v>45</v>
      </c>
      <c r="J26" s="16">
        <f t="shared" si="14"/>
        <v>40</v>
      </c>
      <c r="K26" s="16">
        <f t="shared" si="14"/>
        <v>40</v>
      </c>
      <c r="L26" s="16">
        <f t="shared" si="14"/>
        <v>35</v>
      </c>
      <c r="M26" s="16">
        <f t="shared" si="14"/>
        <v>20</v>
      </c>
      <c r="N26" s="16">
        <f t="shared" si="14"/>
        <v>10</v>
      </c>
      <c r="O26" s="16">
        <f t="shared" si="14"/>
        <v>10</v>
      </c>
      <c r="P26" s="16">
        <f t="shared" si="14"/>
        <v>10</v>
      </c>
      <c r="Q26" s="16">
        <f t="shared" si="14"/>
        <v>0</v>
      </c>
      <c r="R26" s="16">
        <f t="shared" si="14"/>
        <v>0</v>
      </c>
      <c r="S26" s="16">
        <f t="shared" si="14"/>
        <v>0</v>
      </c>
      <c r="T26" s="16">
        <f t="shared" si="14"/>
        <v>0</v>
      </c>
      <c r="U26" s="16">
        <f t="shared" si="14"/>
        <v>0</v>
      </c>
      <c r="V26" s="16">
        <f t="shared" si="14"/>
        <v>0</v>
      </c>
      <c r="W26" s="16">
        <f t="shared" si="14"/>
        <v>0</v>
      </c>
      <c r="X26" s="16">
        <f t="shared" si="14"/>
        <v>0</v>
      </c>
      <c r="Y26" s="16">
        <f t="shared" si="14"/>
        <v>0</v>
      </c>
      <c r="Z26" s="16">
        <f t="shared" si="14"/>
        <v>0</v>
      </c>
      <c r="AA26" s="16">
        <f t="shared" si="14"/>
        <v>0</v>
      </c>
    </row>
    <row r="27" spans="1:29" x14ac:dyDescent="0.35">
      <c r="A27" s="6"/>
      <c r="B27" s="6" t="s">
        <v>5</v>
      </c>
      <c r="C27" s="16">
        <f>IF(C$18*C$8&lt;69.9,C$18*C$8*0.72,'Host L2 --&gt; DEFOL relationship'!$C$39/(1+EXP(-'Host L2 --&gt; DEFOL relationship'!$C$38*(C$18*C$8-'Host L2 --&gt; DEFOL relationship'!$C$40))))</f>
        <v>14.399999999999999</v>
      </c>
      <c r="D27" s="16">
        <f>IF(D$18*D$8&lt;69.9,D$18*D$8*0.72,'Host L2 --&gt; DEFOL relationship'!$C$39/(1+EXP(-'Host L2 --&gt; DEFOL relationship'!$C$38*(D$18*D$8-'Host L2 --&gt; DEFOL relationship'!$C$40))))</f>
        <v>14.399999999999999</v>
      </c>
      <c r="E27" s="16">
        <f>IF(E$18*E$8&lt;69.9,E$18*E$8*0.72,'Host L2 --&gt; DEFOL relationship'!$C$39/(1+EXP(-'Host L2 --&gt; DEFOL relationship'!$C$38*(E$18*E$8-'Host L2 --&gt; DEFOL relationship'!$C$40))))</f>
        <v>14.399999999999999</v>
      </c>
      <c r="F27" s="16">
        <f>IF(F$18*F$8&lt;69.9,F$18*F$8*0.72,'Host L2 --&gt; DEFOL relationship'!$C$39/(1+EXP(-'Host L2 --&gt; DEFOL relationship'!$C$38*(F$18*F$8-'Host L2 --&gt; DEFOL relationship'!$C$40))))</f>
        <v>25.2</v>
      </c>
      <c r="G27" s="16">
        <f>IF(G$18*G$8&lt;69.9,G$18*G$8*0.72,'Host L2 --&gt; DEFOL relationship'!$C$39/(1+EXP(-'Host L2 --&gt; DEFOL relationship'!$C$38*(G$18*G$8-'Host L2 --&gt; DEFOL relationship'!$C$40))))</f>
        <v>32.4</v>
      </c>
      <c r="H27" s="16">
        <f>IF(H$18*H$8&lt;69.9,H$18*H$8*0.72,'Host L2 --&gt; DEFOL relationship'!$C$39/(1+EXP(-'Host L2 --&gt; DEFOL relationship'!$C$38*(H$18*H$8-'Host L2 --&gt; DEFOL relationship'!$C$40))))</f>
        <v>75.25948948809733</v>
      </c>
      <c r="I27" s="16">
        <f>IF(I$18*I$8&lt;69.9,I$18*I$8*0.72,'Host L2 --&gt; DEFOL relationship'!$C$39/(1+EXP(-'Host L2 --&gt; DEFOL relationship'!$C$38*(I$18*I$8-'Host L2 --&gt; DEFOL relationship'!$C$40))))</f>
        <v>32.4</v>
      </c>
      <c r="J27" s="16">
        <f>IF(J$18*J$8&lt;69.9,J$18*J$8*0.72,'Host L2 --&gt; DEFOL relationship'!$C$39/(1+EXP(-'Host L2 --&gt; DEFOL relationship'!$C$38*(J$18*J$8-'Host L2 --&gt; DEFOL relationship'!$C$40))))</f>
        <v>28.799999999999997</v>
      </c>
      <c r="K27" s="16">
        <f>IF(K$18*K$8&lt;69.9,K$18*K$8*0.72,'Host L2 --&gt; DEFOL relationship'!$C$39/(1+EXP(-'Host L2 --&gt; DEFOL relationship'!$C$38*(K$18*K$8-'Host L2 --&gt; DEFOL relationship'!$C$40))))</f>
        <v>28.799999999999997</v>
      </c>
      <c r="L27" s="16">
        <f>IF(L$18*L$8&lt;69.9,L$18*L$8*0.72,'Host L2 --&gt; DEFOL relationship'!$C$39/(1+EXP(-'Host L2 --&gt; DEFOL relationship'!$C$38*(L$18*L$8-'Host L2 --&gt; DEFOL relationship'!$C$40))))</f>
        <v>25.2</v>
      </c>
      <c r="M27" s="16">
        <f>IF(M$18*M$8&lt;69.9,M$18*M$8*0.72,'Host L2 --&gt; DEFOL relationship'!$C$39/(1+EXP(-'Host L2 --&gt; DEFOL relationship'!$C$38*(M$18*M$8-'Host L2 --&gt; DEFOL relationship'!$C$40))))</f>
        <v>14.399999999999999</v>
      </c>
      <c r="N27" s="16">
        <f>IF(N$18*N$8&lt;69.9,N$18*N$8*0.72,'Host L2 --&gt; DEFOL relationship'!$C$39/(1+EXP(-'Host L2 --&gt; DEFOL relationship'!$C$38*(N$18*N$8-'Host L2 --&gt; DEFOL relationship'!$C$40))))</f>
        <v>7.1999999999999993</v>
      </c>
      <c r="O27" s="16">
        <f>IF(O$18*O$8&lt;69.9,O$18*O$8*0.72,'Host L2 --&gt; DEFOL relationship'!$C$39/(1+EXP(-'Host L2 --&gt; DEFOL relationship'!$C$38*(O$18*O$8-'Host L2 --&gt; DEFOL relationship'!$C$40))))</f>
        <v>7.1999999999999993</v>
      </c>
      <c r="P27" s="16">
        <f>IF(P$18*P$8&lt;69.9,P$18*P$8*0.72,'Host L2 --&gt; DEFOL relationship'!$C$39/(1+EXP(-'Host L2 --&gt; DEFOL relationship'!$C$38*(P$18*P$8-'Host L2 --&gt; DEFOL relationship'!$C$40))))</f>
        <v>7.1999999999999993</v>
      </c>
      <c r="Q27" s="16">
        <f>IF(Q$18*Q$8&lt;69.9,Q$18*Q$8*0.72,'Host L2 --&gt; DEFOL relationship'!$C$39/(1+EXP(-'Host L2 --&gt; DEFOL relationship'!$C$38*(Q$18*Q$8-'Host L2 --&gt; DEFOL relationship'!$C$40))))</f>
        <v>0</v>
      </c>
      <c r="R27" s="16">
        <f>IF(R$18*R$8&lt;69.9,R$18*R$8*0.72,'Host L2 --&gt; DEFOL relationship'!$C$39/(1+EXP(-'Host L2 --&gt; DEFOL relationship'!$C$38*(R$18*R$8-'Host L2 --&gt; DEFOL relationship'!$C$40))))</f>
        <v>0</v>
      </c>
      <c r="S27" s="16">
        <f>IF(S$18*S$8&lt;69.9,S$18*S$8*0.72,'Host L2 --&gt; DEFOL relationship'!$C$39/(1+EXP(-'Host L2 --&gt; DEFOL relationship'!$C$38*(S$18*S$8-'Host L2 --&gt; DEFOL relationship'!$C$40))))</f>
        <v>0</v>
      </c>
      <c r="T27" s="16">
        <f>IF(T$18*T$8&lt;69.9,T$18*T$8*0.72,'Host L2 --&gt; DEFOL relationship'!$C$39/(1+EXP(-'Host L2 --&gt; DEFOL relationship'!$C$38*(T$18*T$8-'Host L2 --&gt; DEFOL relationship'!$C$40))))</f>
        <v>0</v>
      </c>
      <c r="U27" s="16">
        <f>IF(U$18*U$8&lt;69.9,U$18*U$8*0.72,'Host L2 --&gt; DEFOL relationship'!$C$39/(1+EXP(-'Host L2 --&gt; DEFOL relationship'!$C$38*(U$18*U$8-'Host L2 --&gt; DEFOL relationship'!$C$40))))</f>
        <v>0</v>
      </c>
      <c r="V27" s="16">
        <f>IF(V$18*V$8&lt;69.9,V$18*V$8*0.72,'Host L2 --&gt; DEFOL relationship'!$C$39/(1+EXP(-'Host L2 --&gt; DEFOL relationship'!$C$38*(V$18*V$8-'Host L2 --&gt; DEFOL relationship'!$C$40))))</f>
        <v>0</v>
      </c>
      <c r="W27" s="16">
        <f>IF(W$18*W$8&lt;69.9,W$18*W$8*0.72,'Host L2 --&gt; DEFOL relationship'!$C$39/(1+EXP(-'Host L2 --&gt; DEFOL relationship'!$C$38*(W$18*W$8-'Host L2 --&gt; DEFOL relationship'!$C$40))))</f>
        <v>0</v>
      </c>
      <c r="X27" s="16">
        <f>IF(X$18*X$8&lt;69.9,X$18*X$8*0.72,'Host L2 --&gt; DEFOL relationship'!$C$39/(1+EXP(-'Host L2 --&gt; DEFOL relationship'!$C$38*(X$18*X$8-'Host L2 --&gt; DEFOL relationship'!$C$40))))</f>
        <v>0</v>
      </c>
      <c r="Y27" s="16">
        <f>IF(Y$18*Y$8&lt;69.9,Y$18*Y$8*0.72,'Host L2 --&gt; DEFOL relationship'!$C$39/(1+EXP(-'Host L2 --&gt; DEFOL relationship'!$C$38*(Y$18*Y$8-'Host L2 --&gt; DEFOL relationship'!$C$40))))</f>
        <v>0</v>
      </c>
      <c r="Z27" s="16">
        <f>IF(Z$18*Z$8&lt;69.9,Z$18*Z$8*0.72,'Host L2 --&gt; DEFOL relationship'!$C$39/(1+EXP(-'Host L2 --&gt; DEFOL relationship'!$C$38*(Z$18*Z$8-'Host L2 --&gt; DEFOL relationship'!$C$40))))</f>
        <v>0</v>
      </c>
      <c r="AA27" s="16">
        <f>IF(AA$18*AA$8&lt;69.9,AA$18*AA$8*0.72,'Host L2 --&gt; DEFOL relationship'!$C$39/(1+EXP(-'Host L2 --&gt; DEFOL relationship'!$C$38*(AA$18*AA$8-'Host L2 --&gt; DEFOL relationship'!$C$40))))</f>
        <v>0</v>
      </c>
    </row>
    <row r="28" spans="1:29" x14ac:dyDescent="0.35">
      <c r="A28" s="6"/>
      <c r="B28" s="6" t="s">
        <v>6</v>
      </c>
      <c r="C28" s="16">
        <f>IF(C$18*C$8&lt;69.9,C$18*C$8*0.43,'Host L2 --&gt; DEFOL relationship'!$D$39/(1+EXP(-'Host L2 --&gt; DEFOL relationship'!$D$38*(C$18*C$8-'Host L2 --&gt; DEFOL relationship'!$D$40))))</f>
        <v>8.6</v>
      </c>
      <c r="D28" s="16">
        <f>IF(D$18*D$8&lt;69.9,D$18*D$8*0.43,'Host L2 --&gt; DEFOL relationship'!$D$39/(1+EXP(-'Host L2 --&gt; DEFOL relationship'!$D$38*(D$18*D$8-'Host L2 --&gt; DEFOL relationship'!$D$40))))</f>
        <v>8.6</v>
      </c>
      <c r="E28" s="16">
        <f>IF(E$18*E$8&lt;69.9,E$18*E$8*0.43,'Host L2 --&gt; DEFOL relationship'!$D$39/(1+EXP(-'Host L2 --&gt; DEFOL relationship'!$D$38*(E$18*E$8-'Host L2 --&gt; DEFOL relationship'!$D$40))))</f>
        <v>8.6</v>
      </c>
      <c r="F28" s="16">
        <f>IF(F$18*F$8&lt;69.9,F$18*F$8*0.43,'Host L2 --&gt; DEFOL relationship'!$D$39/(1+EXP(-'Host L2 --&gt; DEFOL relationship'!$D$38*(F$18*F$8-'Host L2 --&gt; DEFOL relationship'!$D$40))))</f>
        <v>15.049999999999999</v>
      </c>
      <c r="G28" s="16">
        <f>IF(G$18*G$8&lt;69.9,G$18*G$8*0.43,'Host L2 --&gt; DEFOL relationship'!$D$39/(1+EXP(-'Host L2 --&gt; DEFOL relationship'!$D$38*(G$18*G$8-'Host L2 --&gt; DEFOL relationship'!$D$40))))</f>
        <v>19.350000000000001</v>
      </c>
      <c r="H28" s="16">
        <f>IF(H$18*H$8&lt;69.9,H$18*H$8*0.43,'Host L2 --&gt; DEFOL relationship'!$D$39/(1+EXP(-'Host L2 --&gt; DEFOL relationship'!$D$38*(H$18*H$8-'Host L2 --&gt; DEFOL relationship'!$D$40))))</f>
        <v>51.114294970892381</v>
      </c>
      <c r="I28" s="16">
        <f>IF(I$18*I$8&lt;69.9,I$18*I$8*0.43,'Host L2 --&gt; DEFOL relationship'!$D$39/(1+EXP(-'Host L2 --&gt; DEFOL relationship'!$D$38*(I$18*I$8-'Host L2 --&gt; DEFOL relationship'!$D$40))))</f>
        <v>19.350000000000001</v>
      </c>
      <c r="J28" s="16">
        <f>IF(J$18*J$8&lt;69.9,J$18*J$8*0.43,'Host L2 --&gt; DEFOL relationship'!$D$39/(1+EXP(-'Host L2 --&gt; DEFOL relationship'!$D$38*(J$18*J$8-'Host L2 --&gt; DEFOL relationship'!$D$40))))</f>
        <v>17.2</v>
      </c>
      <c r="K28" s="16">
        <f>IF(K$18*K$8&lt;69.9,K$18*K$8*0.43,'Host L2 --&gt; DEFOL relationship'!$D$39/(1+EXP(-'Host L2 --&gt; DEFOL relationship'!$D$38*(K$18*K$8-'Host L2 --&gt; DEFOL relationship'!$D$40))))</f>
        <v>17.2</v>
      </c>
      <c r="L28" s="16">
        <f>IF(L$18*L$8&lt;69.9,L$18*L$8*0.43,'Host L2 --&gt; DEFOL relationship'!$D$39/(1+EXP(-'Host L2 --&gt; DEFOL relationship'!$D$38*(L$18*L$8-'Host L2 --&gt; DEFOL relationship'!$D$40))))</f>
        <v>15.049999999999999</v>
      </c>
      <c r="M28" s="16">
        <f>IF(M$18*M$8&lt;69.9,M$18*M$8*0.43,'Host L2 --&gt; DEFOL relationship'!$D$39/(1+EXP(-'Host L2 --&gt; DEFOL relationship'!$D$38*(M$18*M$8-'Host L2 --&gt; DEFOL relationship'!$D$40))))</f>
        <v>8.6</v>
      </c>
      <c r="N28" s="16">
        <f>IF(N$18*N$8&lt;69.9,N$18*N$8*0.43,'Host L2 --&gt; DEFOL relationship'!$D$39/(1+EXP(-'Host L2 --&gt; DEFOL relationship'!$D$38*(N$18*N$8-'Host L2 --&gt; DEFOL relationship'!$D$40))))</f>
        <v>4.3</v>
      </c>
      <c r="O28" s="16">
        <f>IF(O$18*O$8&lt;69.9,O$18*O$8*0.43,'Host L2 --&gt; DEFOL relationship'!$D$39/(1+EXP(-'Host L2 --&gt; DEFOL relationship'!$D$38*(O$18*O$8-'Host L2 --&gt; DEFOL relationship'!$D$40))))</f>
        <v>4.3</v>
      </c>
      <c r="P28" s="16">
        <f>IF(P$18*P$8&lt;69.9,P$18*P$8*0.43,'Host L2 --&gt; DEFOL relationship'!$D$39/(1+EXP(-'Host L2 --&gt; DEFOL relationship'!$D$38*(P$18*P$8-'Host L2 --&gt; DEFOL relationship'!$D$40))))</f>
        <v>4.3</v>
      </c>
      <c r="Q28" s="16">
        <f>IF(Q$18*Q$8&lt;69.9,Q$18*Q$8*0.43,'Host L2 --&gt; DEFOL relationship'!$D$39/(1+EXP(-'Host L2 --&gt; DEFOL relationship'!$D$38*(Q$18*Q$8-'Host L2 --&gt; DEFOL relationship'!$D$40))))</f>
        <v>0</v>
      </c>
      <c r="R28" s="16">
        <f>IF(R$18*R$8&lt;69.9,R$18*R$8*0.43,'Host L2 --&gt; DEFOL relationship'!$D$39/(1+EXP(-'Host L2 --&gt; DEFOL relationship'!$D$38*(R$18*R$8-'Host L2 --&gt; DEFOL relationship'!$D$40))))</f>
        <v>0</v>
      </c>
      <c r="S28" s="16">
        <f>IF(S$18*S$8&lt;69.9,S$18*S$8*0.43,'Host L2 --&gt; DEFOL relationship'!$D$39/(1+EXP(-'Host L2 --&gt; DEFOL relationship'!$D$38*(S$18*S$8-'Host L2 --&gt; DEFOL relationship'!$D$40))))</f>
        <v>0</v>
      </c>
      <c r="T28" s="16">
        <f>IF(T$18*T$8&lt;69.9,T$18*T$8*0.43,'Host L2 --&gt; DEFOL relationship'!$D$39/(1+EXP(-'Host L2 --&gt; DEFOL relationship'!$D$38*(T$18*T$8-'Host L2 --&gt; DEFOL relationship'!$D$40))))</f>
        <v>0</v>
      </c>
      <c r="U28" s="16">
        <f>IF(U$18*U$8&lt;69.9,U$18*U$8*0.43,'Host L2 --&gt; DEFOL relationship'!$D$39/(1+EXP(-'Host L2 --&gt; DEFOL relationship'!$D$38*(U$18*U$8-'Host L2 --&gt; DEFOL relationship'!$D$40))))</f>
        <v>0</v>
      </c>
      <c r="V28" s="16">
        <f>IF(V$18*V$8&lt;69.9,V$18*V$8*0.43,'Host L2 --&gt; DEFOL relationship'!$D$39/(1+EXP(-'Host L2 --&gt; DEFOL relationship'!$D$38*(V$18*V$8-'Host L2 --&gt; DEFOL relationship'!$D$40))))</f>
        <v>0</v>
      </c>
      <c r="W28" s="16">
        <f>IF(W$18*W$8&lt;69.9,W$18*W$8*0.43,'Host L2 --&gt; DEFOL relationship'!$D$39/(1+EXP(-'Host L2 --&gt; DEFOL relationship'!$D$38*(W$18*W$8-'Host L2 --&gt; DEFOL relationship'!$D$40))))</f>
        <v>0</v>
      </c>
      <c r="X28" s="16">
        <f>IF(X$18*X$8&lt;69.9,X$18*X$8*0.43,'Host L2 --&gt; DEFOL relationship'!$D$39/(1+EXP(-'Host L2 --&gt; DEFOL relationship'!$D$38*(X$18*X$8-'Host L2 --&gt; DEFOL relationship'!$D$40))))</f>
        <v>0</v>
      </c>
      <c r="Y28" s="16">
        <f>IF(Y$18*Y$8&lt;69.9,Y$18*Y$8*0.43,'Host L2 --&gt; DEFOL relationship'!$D$39/(1+EXP(-'Host L2 --&gt; DEFOL relationship'!$D$38*(Y$18*Y$8-'Host L2 --&gt; DEFOL relationship'!$D$40))))</f>
        <v>0</v>
      </c>
      <c r="Z28" s="16">
        <f>IF(Z$18*Z$8&lt;69.9,Z$18*Z$8*0.43,'Host L2 --&gt; DEFOL relationship'!$D$39/(1+EXP(-'Host L2 --&gt; DEFOL relationship'!$D$38*(Z$18*Z$8-'Host L2 --&gt; DEFOL relationship'!$D$40))))</f>
        <v>0</v>
      </c>
      <c r="AA28" s="16">
        <f>IF(AA$18*AA$8&lt;69.9,AA$18*AA$8*0.43,'Host L2 --&gt; DEFOL relationship'!$D$39/(1+EXP(-'Host L2 --&gt; DEFOL relationship'!$D$38*(AA$18*AA$8-'Host L2 --&gt; DEFOL relationship'!$D$40))))</f>
        <v>0</v>
      </c>
    </row>
    <row r="29" spans="1:29" x14ac:dyDescent="0.35">
      <c r="A29" s="3"/>
      <c r="B29" s="3" t="s">
        <v>7</v>
      </c>
      <c r="C29" s="16">
        <f>IF(C$18*C$8&lt;69.9,C$18*C$8*0.28,'Host L2 --&gt; DEFOL relationship'!$E$39/(1+EXP(-'Host L2 --&gt; DEFOL relationship'!$E$38*(C$18*C$8-'Host L2 --&gt; DEFOL relationship'!$E$40))))</f>
        <v>5.6000000000000005</v>
      </c>
      <c r="D29" s="16">
        <f>IF(D$18*D$8&lt;69.9,D$18*D$8*0.28,'Host L2 --&gt; DEFOL relationship'!$E$39/(1+EXP(-'Host L2 --&gt; DEFOL relationship'!$E$38*(D$18*D$8-'Host L2 --&gt; DEFOL relationship'!$E$40))))</f>
        <v>5.6000000000000005</v>
      </c>
      <c r="E29" s="16">
        <f>IF(E$18*E$8&lt;69.9,E$18*E$8*0.28,'Host L2 --&gt; DEFOL relationship'!$E$39/(1+EXP(-'Host L2 --&gt; DEFOL relationship'!$E$38*(E$18*E$8-'Host L2 --&gt; DEFOL relationship'!$E$40))))</f>
        <v>5.6000000000000005</v>
      </c>
      <c r="F29" s="16">
        <f>IF(F$18*F$8&lt;69.9,F$18*F$8*0.28,'Host L2 --&gt; DEFOL relationship'!$E$39/(1+EXP(-'Host L2 --&gt; DEFOL relationship'!$E$38*(F$18*F$8-'Host L2 --&gt; DEFOL relationship'!$E$40))))</f>
        <v>9.8000000000000007</v>
      </c>
      <c r="G29" s="16">
        <f>IF(G$18*G$8&lt;69.9,G$18*G$8*0.28,'Host L2 --&gt; DEFOL relationship'!$E$39/(1+EXP(-'Host L2 --&gt; DEFOL relationship'!$E$38*(G$18*G$8-'Host L2 --&gt; DEFOL relationship'!$E$40))))</f>
        <v>12.600000000000001</v>
      </c>
      <c r="H29" s="16">
        <f>IF(H$18*H$8&lt;69.9,H$18*H$8*0.28,'Host L2 --&gt; DEFOL relationship'!$E$39/(1+EXP(-'Host L2 --&gt; DEFOL relationship'!$E$38*(H$18*H$8-'Host L2 --&gt; DEFOL relationship'!$E$40))))</f>
        <v>34.995116163776721</v>
      </c>
      <c r="I29" s="16">
        <f>IF(I$18*I$8&lt;69.9,I$18*I$8*0.28,'Host L2 --&gt; DEFOL relationship'!$E$39/(1+EXP(-'Host L2 --&gt; DEFOL relationship'!$E$38*(I$18*I$8-'Host L2 --&gt; DEFOL relationship'!$E$40))))</f>
        <v>12.600000000000001</v>
      </c>
      <c r="J29" s="16">
        <f>IF(J$18*J$8&lt;69.9,J$18*J$8*0.28,'Host L2 --&gt; DEFOL relationship'!$E$39/(1+EXP(-'Host L2 --&gt; DEFOL relationship'!$E$38*(J$18*J$8-'Host L2 --&gt; DEFOL relationship'!$E$40))))</f>
        <v>11.200000000000001</v>
      </c>
      <c r="K29" s="16">
        <f>IF(K$18*K$8&lt;69.9,K$18*K$8*0.28,'Host L2 --&gt; DEFOL relationship'!$E$39/(1+EXP(-'Host L2 --&gt; DEFOL relationship'!$E$38*(K$18*K$8-'Host L2 --&gt; DEFOL relationship'!$E$40))))</f>
        <v>11.200000000000001</v>
      </c>
      <c r="L29" s="16">
        <f>IF(L$18*L$8&lt;69.9,L$18*L$8*0.28,'Host L2 --&gt; DEFOL relationship'!$E$39/(1+EXP(-'Host L2 --&gt; DEFOL relationship'!$E$38*(L$18*L$8-'Host L2 --&gt; DEFOL relationship'!$E$40))))</f>
        <v>9.8000000000000007</v>
      </c>
      <c r="M29" s="16">
        <f>IF(M$18*M$8&lt;69.9,M$18*M$8*0.28,'Host L2 --&gt; DEFOL relationship'!$E$39/(1+EXP(-'Host L2 --&gt; DEFOL relationship'!$E$38*(M$18*M$8-'Host L2 --&gt; DEFOL relationship'!$E$40))))</f>
        <v>5.6000000000000005</v>
      </c>
      <c r="N29" s="16">
        <f>IF(N$18*N$8&lt;69.9,N$18*N$8*0.28,'Host L2 --&gt; DEFOL relationship'!$E$39/(1+EXP(-'Host L2 --&gt; DEFOL relationship'!$E$38*(N$18*N$8-'Host L2 --&gt; DEFOL relationship'!$E$40))))</f>
        <v>2.8000000000000003</v>
      </c>
      <c r="O29" s="16">
        <f>IF(O$18*O$8&lt;69.9,O$18*O$8*0.28,'Host L2 --&gt; DEFOL relationship'!$E$39/(1+EXP(-'Host L2 --&gt; DEFOL relationship'!$E$38*(O$18*O$8-'Host L2 --&gt; DEFOL relationship'!$E$40))))</f>
        <v>2.8000000000000003</v>
      </c>
      <c r="P29" s="16">
        <f>IF(P$18*P$8&lt;69.9,P$18*P$8*0.28,'Host L2 --&gt; DEFOL relationship'!$E$39/(1+EXP(-'Host L2 --&gt; DEFOL relationship'!$E$38*(P$18*P$8-'Host L2 --&gt; DEFOL relationship'!$E$40))))</f>
        <v>2.8000000000000003</v>
      </c>
      <c r="Q29" s="16">
        <f>IF(Q$18*Q$8&lt;69.9,Q$18*Q$8*0.28,'Host L2 --&gt; DEFOL relationship'!$E$39/(1+EXP(-'Host L2 --&gt; DEFOL relationship'!$E$38*(Q$18*Q$8-'Host L2 --&gt; DEFOL relationship'!$E$40))))</f>
        <v>0</v>
      </c>
      <c r="R29" s="16">
        <f>IF(R$18*R$8&lt;69.9,R$18*R$8*0.28,'Host L2 --&gt; DEFOL relationship'!$E$39/(1+EXP(-'Host L2 --&gt; DEFOL relationship'!$E$38*(R$18*R$8-'Host L2 --&gt; DEFOL relationship'!$E$40))))</f>
        <v>0</v>
      </c>
      <c r="S29" s="16">
        <f>IF(S$18*S$8&lt;69.9,S$18*S$8*0.28,'Host L2 --&gt; DEFOL relationship'!$E$39/(1+EXP(-'Host L2 --&gt; DEFOL relationship'!$E$38*(S$18*S$8-'Host L2 --&gt; DEFOL relationship'!$E$40))))</f>
        <v>0</v>
      </c>
      <c r="T29" s="16">
        <f>IF(T$18*T$8&lt;69.9,T$18*T$8*0.28,'Host L2 --&gt; DEFOL relationship'!$E$39/(1+EXP(-'Host L2 --&gt; DEFOL relationship'!$E$38*(T$18*T$8-'Host L2 --&gt; DEFOL relationship'!$E$40))))</f>
        <v>0</v>
      </c>
      <c r="U29" s="16">
        <f>IF(U$18*U$8&lt;69.9,U$18*U$8*0.28,'Host L2 --&gt; DEFOL relationship'!$E$39/(1+EXP(-'Host L2 --&gt; DEFOL relationship'!$E$38*(U$18*U$8-'Host L2 --&gt; DEFOL relationship'!$E$40))))</f>
        <v>0</v>
      </c>
      <c r="V29" s="16">
        <f>IF(V$18*V$8&lt;69.9,V$18*V$8*0.28,'Host L2 --&gt; DEFOL relationship'!$E$39/(1+EXP(-'Host L2 --&gt; DEFOL relationship'!$E$38*(V$18*V$8-'Host L2 --&gt; DEFOL relationship'!$E$40))))</f>
        <v>0</v>
      </c>
      <c r="W29" s="16">
        <f>IF(W$18*W$8&lt;69.9,W$18*W$8*0.28,'Host L2 --&gt; DEFOL relationship'!$E$39/(1+EXP(-'Host L2 --&gt; DEFOL relationship'!$E$38*(W$18*W$8-'Host L2 --&gt; DEFOL relationship'!$E$40))))</f>
        <v>0</v>
      </c>
      <c r="X29" s="16">
        <f>IF(X$18*X$8&lt;69.9,X$18*X$8*0.28,'Host L2 --&gt; DEFOL relationship'!$E$39/(1+EXP(-'Host L2 --&gt; DEFOL relationship'!$E$38*(X$18*X$8-'Host L2 --&gt; DEFOL relationship'!$E$40))))</f>
        <v>0</v>
      </c>
      <c r="Y29" s="16">
        <f>IF(Y$18*Y$8&lt;69.9,Y$18*Y$8*0.28,'Host L2 --&gt; DEFOL relationship'!$E$39/(1+EXP(-'Host L2 --&gt; DEFOL relationship'!$E$38*(Y$18*Y$8-'Host L2 --&gt; DEFOL relationship'!$E$40))))</f>
        <v>0</v>
      </c>
      <c r="Z29" s="16">
        <f>IF(Z$18*Z$8&lt;69.9,Z$18*Z$8*0.28,'Host L2 --&gt; DEFOL relationship'!$E$39/(1+EXP(-'Host L2 --&gt; DEFOL relationship'!$E$38*(Z$18*Z$8-'Host L2 --&gt; DEFOL relationship'!$E$40))))</f>
        <v>0</v>
      </c>
      <c r="AA29" s="16">
        <f>IF(AA$18*AA$8&lt;69.9,AA$18*AA$8*0.28,'Host L2 --&gt; DEFOL relationship'!$E$39/(1+EXP(-'Host L2 --&gt; DEFOL relationship'!$E$38*(AA$18*AA$8-'Host L2 --&gt; DEFOL relationship'!$E$40))))</f>
        <v>0</v>
      </c>
    </row>
    <row r="30" spans="1:29" ht="25.75" customHeight="1" x14ac:dyDescent="0.35">
      <c r="A30" s="12"/>
      <c r="B30" s="12"/>
      <c r="C30" s="20" t="s">
        <v>46</v>
      </c>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9" x14ac:dyDescent="0.35">
      <c r="A31" s="6" t="s">
        <v>0</v>
      </c>
      <c r="B31" s="6"/>
      <c r="C31" s="6"/>
      <c r="D31" s="6"/>
      <c r="E31" s="6"/>
      <c r="F31" s="6"/>
      <c r="G31" s="6"/>
      <c r="H31" s="6"/>
      <c r="I31" s="6"/>
      <c r="J31" s="6"/>
      <c r="K31" s="6"/>
      <c r="L31" s="6"/>
      <c r="M31" s="6"/>
      <c r="N31" s="6"/>
      <c r="O31" s="6"/>
      <c r="P31" s="6"/>
      <c r="Q31" s="6"/>
      <c r="R31" s="6"/>
      <c r="S31" s="6"/>
      <c r="T31" s="6"/>
      <c r="U31" s="25"/>
      <c r="V31" s="25"/>
      <c r="W31" s="25"/>
      <c r="X31" s="25"/>
      <c r="Y31" s="25"/>
      <c r="Z31" s="25"/>
      <c r="AA31" s="25"/>
    </row>
    <row r="32" spans="1:29" x14ac:dyDescent="0.35">
      <c r="A32" s="6"/>
      <c r="B32" s="6" t="s">
        <v>4</v>
      </c>
      <c r="C32" s="37">
        <f>0.28*C21</f>
        <v>5.6000000000000005</v>
      </c>
      <c r="D32" s="37">
        <f>0.26*C21+0.28*D21</f>
        <v>10.8</v>
      </c>
      <c r="E32" s="37">
        <f>0.22*C21+0.26*D21+0.28*E21</f>
        <v>15.200000000000003</v>
      </c>
      <c r="F32" s="37">
        <f>C21*0.13+0.22*D21+0.26*E21+0.28*F21</f>
        <v>22</v>
      </c>
      <c r="G32" s="37">
        <f>0.08*C21+D21*0.13+0.22*E21+0.26*F21+0.28*G21</f>
        <v>30.300000000000004</v>
      </c>
      <c r="H32" s="37">
        <f>0.03*C21+0.08*D21+0.13*E21+0.22*F21+0.26*G21+0.28*H21</f>
        <v>52.2</v>
      </c>
      <c r="I32" s="37">
        <f t="shared" ref="I32:V32" si="15">0.03*D21+0.08*E21+0.13*F21+0.22*G21+0.26*H21+0.28*I21</f>
        <v>70.650000000000006</v>
      </c>
      <c r="J32" s="37">
        <f t="shared" si="15"/>
        <v>81.032499999999999</v>
      </c>
      <c r="K32" s="37">
        <f t="shared" si="15"/>
        <v>74.333749999999995</v>
      </c>
      <c r="L32" s="37">
        <f t="shared" si="15"/>
        <v>63.936250000000001</v>
      </c>
      <c r="M32" s="37">
        <f>0.03*H21+0.08*I21+0.13*J21+0.22*K21+0.26*L21+0.28*M21</f>
        <v>53.541874999999997</v>
      </c>
      <c r="N32" s="37">
        <f t="shared" si="15"/>
        <v>44.644999999999996</v>
      </c>
      <c r="O32" s="37">
        <f t="shared" si="15"/>
        <v>34.848125000000003</v>
      </c>
      <c r="P32" s="37">
        <f t="shared" si="15"/>
        <v>25.45</v>
      </c>
      <c r="Q32" s="37">
        <f t="shared" si="15"/>
        <v>18.75</v>
      </c>
      <c r="R32" s="37">
        <f t="shared" si="15"/>
        <v>14.200000000000001</v>
      </c>
      <c r="S32" s="37">
        <f>0.03*N21+0.08*O21+0.13*P21+0.22*Q21+0.26*R21+0.28*S21</f>
        <v>8.75</v>
      </c>
      <c r="T32" s="37">
        <f t="shared" si="15"/>
        <v>4.9000000000000004</v>
      </c>
      <c r="U32" s="37">
        <f t="shared" si="15"/>
        <v>2.4000000000000004</v>
      </c>
      <c r="V32" s="37">
        <f t="shared" si="15"/>
        <v>1.1000000000000001</v>
      </c>
      <c r="W32" s="37">
        <f t="shared" ref="W32:AA35" si="16">0.03*R21+0.08*S21+0.13*T21+0.22*U21+0.26*V21+0.28*W21</f>
        <v>0.3</v>
      </c>
      <c r="X32" s="37">
        <f t="shared" si="16"/>
        <v>0</v>
      </c>
      <c r="Y32" s="37">
        <f t="shared" si="16"/>
        <v>0</v>
      </c>
      <c r="Z32" s="37">
        <f t="shared" si="16"/>
        <v>0</v>
      </c>
      <c r="AA32" s="37">
        <f t="shared" si="16"/>
        <v>0</v>
      </c>
    </row>
    <row r="33" spans="1:27" x14ac:dyDescent="0.35">
      <c r="A33" s="6"/>
      <c r="B33" s="6" t="s">
        <v>5</v>
      </c>
      <c r="C33" s="37">
        <f>0.28*C22</f>
        <v>4.032</v>
      </c>
      <c r="D33" s="37">
        <f>0.26*C22+0.28*D22</f>
        <v>7.7759999999999998</v>
      </c>
      <c r="E33" s="37">
        <f>0.22*C22+0.26*D22+0.28*E22</f>
        <v>10.943999999999999</v>
      </c>
      <c r="F33" s="37">
        <f>C22*0.13+0.22*D22+0.26*E22+0.28*F22</f>
        <v>15.84</v>
      </c>
      <c r="G33" s="37">
        <f>0.08*C22+D22*0.13+0.22*E22+0.26*F22+0.28*G22</f>
        <v>21.816000000000003</v>
      </c>
      <c r="H33" s="37">
        <f t="shared" ref="H33:V33" si="17">0.03*C22+0.08*D22+0.13*E22+0.22*F22+0.26*G22+0.28*H22</f>
        <v>42.09659384895852</v>
      </c>
      <c r="I33" s="37">
        <f t="shared" si="17"/>
        <v>60.749768291421915</v>
      </c>
      <c r="J33" s="37">
        <f t="shared" si="17"/>
        <v>69.354880814805782</v>
      </c>
      <c r="K33" s="37">
        <f t="shared" si="17"/>
        <v>62.112453518014462</v>
      </c>
      <c r="L33" s="37">
        <f t="shared" si="17"/>
        <v>51.679463833786386</v>
      </c>
      <c r="M33" s="37">
        <f t="shared" si="17"/>
        <v>41.672348680616146</v>
      </c>
      <c r="N33" s="37">
        <f t="shared" si="17"/>
        <v>33.377319471757453</v>
      </c>
      <c r="O33" s="37">
        <f t="shared" si="17"/>
        <v>25.324318359182318</v>
      </c>
      <c r="P33" s="37">
        <f t="shared" si="17"/>
        <v>18.323999999999998</v>
      </c>
      <c r="Q33" s="37">
        <f t="shared" si="17"/>
        <v>13.499999999999998</v>
      </c>
      <c r="R33" s="37">
        <f t="shared" si="17"/>
        <v>10.223999999999998</v>
      </c>
      <c r="S33" s="37">
        <f t="shared" si="17"/>
        <v>6.3</v>
      </c>
      <c r="T33" s="37">
        <f t="shared" si="17"/>
        <v>3.5279999999999996</v>
      </c>
      <c r="U33" s="37">
        <f t="shared" si="17"/>
        <v>1.7279999999999998</v>
      </c>
      <c r="V33" s="37">
        <f t="shared" si="17"/>
        <v>0.79199999999999993</v>
      </c>
      <c r="W33" s="37">
        <f t="shared" si="16"/>
        <v>0.21599999999999997</v>
      </c>
      <c r="X33" s="37">
        <f t="shared" si="16"/>
        <v>0</v>
      </c>
      <c r="Y33" s="37">
        <f t="shared" si="16"/>
        <v>0</v>
      </c>
      <c r="Z33" s="37">
        <f t="shared" si="16"/>
        <v>0</v>
      </c>
      <c r="AA33" s="37">
        <f t="shared" si="16"/>
        <v>0</v>
      </c>
    </row>
    <row r="34" spans="1:27" x14ac:dyDescent="0.35">
      <c r="A34" s="6"/>
      <c r="B34" s="6" t="s">
        <v>6</v>
      </c>
      <c r="C34" s="37">
        <f>0.28*C23</f>
        <v>2.4079999999999999</v>
      </c>
      <c r="D34" s="37">
        <f>0.26*C23+0.28*D23</f>
        <v>4.6440000000000001</v>
      </c>
      <c r="E34" s="37">
        <f>0.22*C23+0.26*D23+0.28*E23</f>
        <v>6.5359999999999996</v>
      </c>
      <c r="F34" s="37">
        <f>C23*0.13+0.22*D23+0.26*E23+0.28*F23</f>
        <v>9.4600000000000009</v>
      </c>
      <c r="G34" s="37">
        <f>0.08*C23+D23*0.13+0.22*E23+0.26*F23+0.28*G23</f>
        <v>13.029</v>
      </c>
      <c r="H34" s="37">
        <f t="shared" ref="H34:V34" si="18">0.03*C23+0.08*D23+0.13*E23+0.22*F23+0.26*G23+0.28*H23</f>
        <v>29.088336246507929</v>
      </c>
      <c r="I34" s="37">
        <f t="shared" si="18"/>
        <v>45.02184810947643</v>
      </c>
      <c r="J34" s="37">
        <f t="shared" si="18"/>
        <v>50.291842797470402</v>
      </c>
      <c r="K34" s="37">
        <f t="shared" si="18"/>
        <v>43.897152742556777</v>
      </c>
      <c r="L34" s="37">
        <f t="shared" si="18"/>
        <v>35.179055016750908</v>
      </c>
      <c r="M34" s="37">
        <f t="shared" si="18"/>
        <v>27.251556006321525</v>
      </c>
      <c r="N34" s="37">
        <f t="shared" si="18"/>
        <v>20.77954083571349</v>
      </c>
      <c r="O34" s="37">
        <f t="shared" si="18"/>
        <v>15.237523438088797</v>
      </c>
      <c r="P34" s="37">
        <f t="shared" si="18"/>
        <v>10.9435</v>
      </c>
      <c r="Q34" s="37">
        <f t="shared" si="18"/>
        <v>8.0625</v>
      </c>
      <c r="R34" s="37">
        <f t="shared" si="18"/>
        <v>6.105999999999999</v>
      </c>
      <c r="S34" s="37">
        <f t="shared" si="18"/>
        <v>3.7624999999999997</v>
      </c>
      <c r="T34" s="37">
        <f t="shared" si="18"/>
        <v>2.1070000000000002</v>
      </c>
      <c r="U34" s="37">
        <f t="shared" si="18"/>
        <v>1.032</v>
      </c>
      <c r="V34" s="37">
        <f t="shared" si="18"/>
        <v>0.47299999999999998</v>
      </c>
      <c r="W34" s="37">
        <f t="shared" si="16"/>
        <v>0.129</v>
      </c>
      <c r="X34" s="37">
        <f t="shared" si="16"/>
        <v>0</v>
      </c>
      <c r="Y34" s="37">
        <f t="shared" si="16"/>
        <v>0</v>
      </c>
      <c r="Z34" s="37">
        <f t="shared" si="16"/>
        <v>0</v>
      </c>
      <c r="AA34" s="37">
        <f t="shared" si="16"/>
        <v>0</v>
      </c>
    </row>
    <row r="35" spans="1:27" x14ac:dyDescent="0.35">
      <c r="A35" s="6"/>
      <c r="B35" s="6" t="s">
        <v>7</v>
      </c>
      <c r="C35" s="37">
        <f>0.28*C24</f>
        <v>1.5680000000000003</v>
      </c>
      <c r="D35" s="37">
        <f>0.26*C24+0.28*D24</f>
        <v>3.0240000000000005</v>
      </c>
      <c r="E35" s="37">
        <f>0.22*C24+0.26*D24+0.28*E24</f>
        <v>4.2560000000000011</v>
      </c>
      <c r="F35" s="37">
        <f>C24*0.13+0.22*D24+0.26*E24+0.28*F24</f>
        <v>6.160000000000001</v>
      </c>
      <c r="G35" s="37">
        <f>0.08*C24+D24*0.13+0.22*E24+0.26*F24+0.28*G24</f>
        <v>8.4840000000000018</v>
      </c>
      <c r="H35" s="37">
        <f t="shared" ref="H35:V35" si="19">0.03*C24+0.08*D24+0.13*E24+0.22*F24+0.26*G24+0.28*H24</f>
        <v>20.866296810198868</v>
      </c>
      <c r="I35" s="37">
        <f t="shared" si="19"/>
        <v>33.906257267783019</v>
      </c>
      <c r="J35" s="37">
        <f t="shared" si="19"/>
        <v>36.981320092081013</v>
      </c>
      <c r="K35" s="37">
        <f t="shared" si="19"/>
        <v>31.789789128481054</v>
      </c>
      <c r="L35" s="37">
        <f t="shared" si="19"/>
        <v>24.851493212096976</v>
      </c>
      <c r="M35" s="37">
        <f t="shared" si="19"/>
        <v>18.807134938350536</v>
      </c>
      <c r="N35" s="37">
        <f t="shared" si="19"/>
        <v>13.864980348907192</v>
      </c>
      <c r="O35" s="37">
        <f t="shared" si="19"/>
        <v>9.9348154341095238</v>
      </c>
      <c r="P35" s="37">
        <f t="shared" si="19"/>
        <v>7.1260000000000012</v>
      </c>
      <c r="Q35" s="37">
        <f t="shared" si="19"/>
        <v>5.25</v>
      </c>
      <c r="R35" s="37">
        <f t="shared" si="19"/>
        <v>3.9760000000000009</v>
      </c>
      <c r="S35" s="37">
        <f t="shared" si="19"/>
        <v>2.4500000000000002</v>
      </c>
      <c r="T35" s="37">
        <f t="shared" si="19"/>
        <v>1.3720000000000001</v>
      </c>
      <c r="U35" s="37">
        <f t="shared" si="19"/>
        <v>0.67200000000000015</v>
      </c>
      <c r="V35" s="37">
        <f t="shared" si="19"/>
        <v>0.30800000000000005</v>
      </c>
      <c r="W35" s="37">
        <f t="shared" si="16"/>
        <v>8.4000000000000005E-2</v>
      </c>
      <c r="X35" s="37">
        <f t="shared" si="16"/>
        <v>0</v>
      </c>
      <c r="Y35" s="37">
        <f t="shared" si="16"/>
        <v>0</v>
      </c>
      <c r="Z35" s="37">
        <f t="shared" si="16"/>
        <v>0</v>
      </c>
      <c r="AA35" s="37">
        <f t="shared" si="16"/>
        <v>0</v>
      </c>
    </row>
    <row r="36" spans="1:27" x14ac:dyDescent="0.35">
      <c r="A36" s="6" t="s">
        <v>1</v>
      </c>
      <c r="B36" s="6"/>
      <c r="C36" s="37"/>
      <c r="D36" s="37"/>
      <c r="E36" s="37"/>
      <c r="F36" s="37"/>
      <c r="G36" s="37"/>
      <c r="H36" s="37"/>
      <c r="I36" s="37"/>
      <c r="J36" s="37"/>
      <c r="K36" s="37"/>
      <c r="L36" s="37"/>
      <c r="M36" s="37"/>
      <c r="N36" s="37"/>
      <c r="O36" s="37"/>
      <c r="P36" s="37"/>
      <c r="Q36" s="37"/>
      <c r="R36" s="37"/>
      <c r="S36" s="37"/>
      <c r="T36" s="37"/>
      <c r="U36" s="37"/>
      <c r="V36" s="37"/>
      <c r="W36" s="37"/>
      <c r="X36" s="37"/>
      <c r="Y36" s="37"/>
      <c r="Z36" s="37"/>
      <c r="AA36" s="37"/>
    </row>
    <row r="37" spans="1:27" x14ac:dyDescent="0.35">
      <c r="A37" s="6"/>
      <c r="B37" s="6" t="s">
        <v>4</v>
      </c>
      <c r="C37" s="37">
        <f>0.28*C26</f>
        <v>5.6000000000000005</v>
      </c>
      <c r="D37" s="37">
        <f>0.26*C26+0.28*D26</f>
        <v>10.8</v>
      </c>
      <c r="E37" s="37">
        <f>0.22*C26+0.26*D26+0.28*E26</f>
        <v>15.200000000000003</v>
      </c>
      <c r="F37" s="37">
        <f>C26*0.13+0.22*D26+0.26*E26+0.28*F26</f>
        <v>22</v>
      </c>
      <c r="G37" s="37">
        <f>0.08*C26+D26*0.13+0.22*E26+0.26*F26+0.28*G26</f>
        <v>30.300000000000004</v>
      </c>
      <c r="H37" s="37">
        <f>0.03*C26+0.08*D26+0.13*E26+0.22*F26+0.26*G26+0.28*H26</f>
        <v>50.1875</v>
      </c>
      <c r="I37" s="37">
        <f t="shared" ref="I37:V37" si="20">0.03*D26+0.08*E26+0.13*F26+0.22*G26+0.26*H26+0.28*I26</f>
        <v>53.381250000000001</v>
      </c>
      <c r="J37" s="37">
        <f t="shared" si="20"/>
        <v>52.568750000000001</v>
      </c>
      <c r="K37" s="37">
        <f t="shared" si="20"/>
        <v>48.215625000000003</v>
      </c>
      <c r="L37" s="37">
        <f t="shared" si="20"/>
        <v>43.625</v>
      </c>
      <c r="M37" s="37">
        <f t="shared" si="20"/>
        <v>35.084375000000001</v>
      </c>
      <c r="N37" s="37">
        <f t="shared" si="20"/>
        <v>25.45</v>
      </c>
      <c r="O37" s="37">
        <f t="shared" si="20"/>
        <v>18.75</v>
      </c>
      <c r="P37" s="37">
        <f t="shared" si="20"/>
        <v>14.200000000000001</v>
      </c>
      <c r="Q37" s="37">
        <f t="shared" si="20"/>
        <v>8.75</v>
      </c>
      <c r="R37" s="37">
        <f t="shared" si="20"/>
        <v>4.9000000000000004</v>
      </c>
      <c r="S37" s="37">
        <f t="shared" si="20"/>
        <v>2.4000000000000004</v>
      </c>
      <c r="T37" s="37">
        <f t="shared" si="20"/>
        <v>1.1000000000000001</v>
      </c>
      <c r="U37" s="37">
        <f t="shared" si="20"/>
        <v>0.3</v>
      </c>
      <c r="V37" s="37">
        <f t="shared" si="20"/>
        <v>0</v>
      </c>
      <c r="W37" s="37">
        <f t="shared" ref="W37:AA40" si="21">0.03*R26+0.08*S26+0.13*T26+0.22*U26+0.26*V26+0.28*W26</f>
        <v>0</v>
      </c>
      <c r="X37" s="37">
        <f t="shared" si="21"/>
        <v>0</v>
      </c>
      <c r="Y37" s="37">
        <f t="shared" si="21"/>
        <v>0</v>
      </c>
      <c r="Z37" s="37">
        <f t="shared" si="21"/>
        <v>0</v>
      </c>
      <c r="AA37" s="37">
        <f t="shared" si="21"/>
        <v>0</v>
      </c>
    </row>
    <row r="38" spans="1:27" x14ac:dyDescent="0.35">
      <c r="A38" s="6"/>
      <c r="B38" s="6" t="s">
        <v>5</v>
      </c>
      <c r="C38" s="37">
        <f>0.28*C27</f>
        <v>4.032</v>
      </c>
      <c r="D38" s="37">
        <f>0.26*C27+0.28*D27</f>
        <v>7.7759999999999998</v>
      </c>
      <c r="E38" s="37">
        <f>0.22*C27+0.26*D27+0.28*E27</f>
        <v>10.943999999999999</v>
      </c>
      <c r="F38" s="37">
        <f>C27*0.13+0.22*D27+0.26*E27+0.28*F27</f>
        <v>15.84</v>
      </c>
      <c r="G38" s="37">
        <f>0.08*C27+D27*0.13+0.22*E27+0.26*F27+0.28*G27</f>
        <v>21.816000000000003</v>
      </c>
      <c r="H38" s="37">
        <f t="shared" ref="H38:V38" si="22">0.03*C27+0.08*D27+0.13*E27+0.22*F27+0.26*G27+0.28*H27</f>
        <v>38.496657056667253</v>
      </c>
      <c r="I38" s="37">
        <f t="shared" si="22"/>
        <v>40.627467266905306</v>
      </c>
      <c r="J38" s="37">
        <f t="shared" si="22"/>
        <v>39.705087687381408</v>
      </c>
      <c r="K38" s="37">
        <f t="shared" si="22"/>
        <v>35.811733633452654</v>
      </c>
      <c r="L38" s="37">
        <f t="shared" si="22"/>
        <v>32.084759159047785</v>
      </c>
      <c r="M38" s="37">
        <f t="shared" si="22"/>
        <v>25.513784684642918</v>
      </c>
      <c r="N38" s="37">
        <f t="shared" si="22"/>
        <v>18.323999999999998</v>
      </c>
      <c r="O38" s="37">
        <f t="shared" si="22"/>
        <v>13.499999999999998</v>
      </c>
      <c r="P38" s="37">
        <f t="shared" si="22"/>
        <v>10.223999999999998</v>
      </c>
      <c r="Q38" s="37">
        <f t="shared" si="22"/>
        <v>6.3</v>
      </c>
      <c r="R38" s="37">
        <f t="shared" si="22"/>
        <v>3.5279999999999996</v>
      </c>
      <c r="S38" s="37">
        <f t="shared" si="22"/>
        <v>1.7279999999999998</v>
      </c>
      <c r="T38" s="37">
        <f t="shared" si="22"/>
        <v>0.79199999999999993</v>
      </c>
      <c r="U38" s="37">
        <f t="shared" si="22"/>
        <v>0.21599999999999997</v>
      </c>
      <c r="V38" s="37">
        <f t="shared" si="22"/>
        <v>0</v>
      </c>
      <c r="W38" s="37">
        <f t="shared" si="21"/>
        <v>0</v>
      </c>
      <c r="X38" s="37">
        <f t="shared" si="21"/>
        <v>0</v>
      </c>
      <c r="Y38" s="37">
        <f t="shared" si="21"/>
        <v>0</v>
      </c>
      <c r="Z38" s="37">
        <f t="shared" si="21"/>
        <v>0</v>
      </c>
      <c r="AA38" s="37">
        <f t="shared" si="21"/>
        <v>0</v>
      </c>
    </row>
    <row r="39" spans="1:27" x14ac:dyDescent="0.35">
      <c r="A39" s="6"/>
      <c r="B39" s="6" t="s">
        <v>6</v>
      </c>
      <c r="C39" s="37">
        <f>0.28*C28</f>
        <v>2.4079999999999999</v>
      </c>
      <c r="D39" s="37">
        <f>0.26*C28+0.28*D28</f>
        <v>4.6440000000000001</v>
      </c>
      <c r="E39" s="37">
        <f>0.22*C28+0.26*D28+0.28*E28</f>
        <v>6.5359999999999996</v>
      </c>
      <c r="F39" s="37">
        <f>C28*0.13+0.22*D28+0.26*E28+0.28*F28</f>
        <v>9.4600000000000009</v>
      </c>
      <c r="G39" s="37">
        <f>0.08*C28+D28*0.13+0.22*E28+0.26*F28+0.28*G28</f>
        <v>13.029</v>
      </c>
      <c r="H39" s="37">
        <f t="shared" ref="H39:V39" si="23">0.03*C28+0.08*D28+0.13*E28+0.22*F28+0.26*G28+0.28*H28</f>
        <v>24.718002591849867</v>
      </c>
      <c r="I39" s="37">
        <f t="shared" si="23"/>
        <v>25.867216692432024</v>
      </c>
      <c r="J39" s="37">
        <f t="shared" si="23"/>
        <v>25.069644893596323</v>
      </c>
      <c r="K39" s="37">
        <f t="shared" si="23"/>
        <v>22.189358346216007</v>
      </c>
      <c r="L39" s="37">
        <f t="shared" si="23"/>
        <v>19.65514359767139</v>
      </c>
      <c r="M39" s="37">
        <f t="shared" si="23"/>
        <v>15.422428849126771</v>
      </c>
      <c r="N39" s="37">
        <f t="shared" si="23"/>
        <v>10.9435</v>
      </c>
      <c r="O39" s="37">
        <f t="shared" si="23"/>
        <v>8.0625</v>
      </c>
      <c r="P39" s="37">
        <f t="shared" si="23"/>
        <v>6.105999999999999</v>
      </c>
      <c r="Q39" s="37">
        <f t="shared" si="23"/>
        <v>3.7624999999999997</v>
      </c>
      <c r="R39" s="37">
        <f t="shared" si="23"/>
        <v>2.1070000000000002</v>
      </c>
      <c r="S39" s="37">
        <f t="shared" si="23"/>
        <v>1.032</v>
      </c>
      <c r="T39" s="37">
        <f t="shared" si="23"/>
        <v>0.47299999999999998</v>
      </c>
      <c r="U39" s="37">
        <f t="shared" si="23"/>
        <v>0.129</v>
      </c>
      <c r="V39" s="37">
        <f t="shared" si="23"/>
        <v>0</v>
      </c>
      <c r="W39" s="37">
        <f t="shared" si="21"/>
        <v>0</v>
      </c>
      <c r="X39" s="37">
        <f t="shared" si="21"/>
        <v>0</v>
      </c>
      <c r="Y39" s="37">
        <f t="shared" si="21"/>
        <v>0</v>
      </c>
      <c r="Z39" s="37">
        <f t="shared" si="21"/>
        <v>0</v>
      </c>
      <c r="AA39" s="37">
        <f t="shared" si="21"/>
        <v>0</v>
      </c>
    </row>
    <row r="40" spans="1:27" x14ac:dyDescent="0.35">
      <c r="A40" s="3"/>
      <c r="B40" s="3" t="s">
        <v>7</v>
      </c>
      <c r="C40" s="38">
        <f>0.28*C29</f>
        <v>1.5680000000000003</v>
      </c>
      <c r="D40" s="38">
        <f>0.26*C29+0.28*D29</f>
        <v>3.0240000000000005</v>
      </c>
      <c r="E40" s="38">
        <f>0.22*C29+0.26*D29+0.28*E29</f>
        <v>4.2560000000000011</v>
      </c>
      <c r="F40" s="38">
        <f>C29*0.13+0.22*D29+0.26*E29+0.28*F29</f>
        <v>6.160000000000001</v>
      </c>
      <c r="G40" s="38">
        <f>0.08*C29+D29*0.13+0.22*E29+0.26*F29+0.28*G29</f>
        <v>8.4840000000000018</v>
      </c>
      <c r="H40" s="37">
        <f t="shared" ref="H40:V40" si="24">0.03*C29+0.08*D29+0.13*E29+0.22*F29+0.26*G29+0.28*H29</f>
        <v>16.574632525857485</v>
      </c>
      <c r="I40" s="37">
        <f t="shared" si="24"/>
        <v>17.288730202581949</v>
      </c>
      <c r="J40" s="37">
        <f t="shared" si="24"/>
        <v>16.700925556030878</v>
      </c>
      <c r="K40" s="37">
        <f t="shared" si="24"/>
        <v>14.671365101290977</v>
      </c>
      <c r="L40" s="37">
        <f t="shared" si="24"/>
        <v>12.935609293102139</v>
      </c>
      <c r="M40" s="37">
        <f t="shared" si="24"/>
        <v>10.093853484913303</v>
      </c>
      <c r="N40" s="37">
        <f t="shared" si="24"/>
        <v>7.1260000000000012</v>
      </c>
      <c r="O40" s="37">
        <f t="shared" si="24"/>
        <v>5.25</v>
      </c>
      <c r="P40" s="37">
        <f t="shared" si="24"/>
        <v>3.9760000000000009</v>
      </c>
      <c r="Q40" s="37">
        <f t="shared" si="24"/>
        <v>2.4500000000000002</v>
      </c>
      <c r="R40" s="37">
        <f t="shared" si="24"/>
        <v>1.3720000000000001</v>
      </c>
      <c r="S40" s="37">
        <f t="shared" si="24"/>
        <v>0.67200000000000015</v>
      </c>
      <c r="T40" s="37">
        <f t="shared" si="24"/>
        <v>0.30800000000000005</v>
      </c>
      <c r="U40" s="37">
        <f t="shared" si="24"/>
        <v>8.4000000000000005E-2</v>
      </c>
      <c r="V40" s="37">
        <f t="shared" si="24"/>
        <v>0</v>
      </c>
      <c r="W40" s="37">
        <f t="shared" si="21"/>
        <v>0</v>
      </c>
      <c r="X40" s="37">
        <f t="shared" si="21"/>
        <v>0</v>
      </c>
      <c r="Y40" s="37">
        <f t="shared" si="21"/>
        <v>0</v>
      </c>
      <c r="Z40" s="37">
        <f t="shared" si="21"/>
        <v>0</v>
      </c>
      <c r="AA40" s="37">
        <f t="shared" si="21"/>
        <v>0</v>
      </c>
    </row>
    <row r="41" spans="1:27" ht="25.75" customHeight="1" x14ac:dyDescent="0.35">
      <c r="A41" s="12"/>
      <c r="B41" s="12"/>
      <c r="C41" s="39" t="s">
        <v>47</v>
      </c>
      <c r="D41" s="40"/>
      <c r="E41" s="40"/>
      <c r="F41" s="40"/>
      <c r="G41" s="40"/>
      <c r="H41" s="40"/>
      <c r="I41" s="40"/>
      <c r="J41" s="40"/>
      <c r="K41" s="40"/>
      <c r="L41" s="40"/>
      <c r="M41" s="40"/>
      <c r="N41" s="40"/>
      <c r="O41" s="40"/>
      <c r="P41" s="40"/>
      <c r="Q41" s="40"/>
      <c r="R41" s="40"/>
      <c r="S41" s="40"/>
      <c r="T41" s="40"/>
      <c r="U41" s="40"/>
      <c r="V41" s="40"/>
      <c r="W41" s="40"/>
      <c r="X41" s="40"/>
      <c r="Y41" s="40"/>
      <c r="Z41" s="40"/>
      <c r="AA41" s="40"/>
    </row>
    <row r="42" spans="1:27" x14ac:dyDescent="0.35">
      <c r="A42" s="25" t="s">
        <v>0</v>
      </c>
      <c r="B42" s="25"/>
      <c r="C42" s="37"/>
      <c r="D42" s="37"/>
      <c r="E42" s="37"/>
      <c r="F42" s="37"/>
      <c r="G42" s="37"/>
      <c r="H42" s="67" t="s">
        <v>48</v>
      </c>
      <c r="I42" s="68"/>
      <c r="J42" s="68"/>
      <c r="K42" s="68"/>
      <c r="L42" s="68"/>
      <c r="M42" s="69" t="s">
        <v>49</v>
      </c>
      <c r="N42" s="70"/>
      <c r="O42" s="70"/>
      <c r="P42" s="70"/>
      <c r="Q42" s="70"/>
      <c r="R42" s="41"/>
      <c r="S42" s="37"/>
      <c r="T42" s="37"/>
      <c r="U42" s="37"/>
      <c r="V42" s="37"/>
      <c r="W42" s="37"/>
      <c r="X42" s="37"/>
      <c r="Y42" s="37"/>
      <c r="Z42" s="37"/>
      <c r="AA42" s="37"/>
    </row>
    <row r="43" spans="1:27" x14ac:dyDescent="0.35">
      <c r="A43" s="25"/>
      <c r="B43" s="25" t="s">
        <v>4</v>
      </c>
      <c r="C43" s="37">
        <f>AVERAGE(C32:G32)</f>
        <v>16.78</v>
      </c>
      <c r="D43" s="37">
        <f>AVERAGE(C32:G32)</f>
        <v>16.78</v>
      </c>
      <c r="E43" s="37">
        <f>AVERAGE(C32:G32)</f>
        <v>16.78</v>
      </c>
      <c r="F43" s="37">
        <f>AVERAGE(C32:G32)</f>
        <v>16.78</v>
      </c>
      <c r="G43" s="37">
        <f>AVERAGE(C32:G32)</f>
        <v>16.78</v>
      </c>
      <c r="H43" s="42">
        <f t="shared" ref="H43:L46" si="25">AVERAGE($H32:$L32)</f>
        <v>68.430500000000009</v>
      </c>
      <c r="I43" s="37">
        <f t="shared" si="25"/>
        <v>68.430500000000009</v>
      </c>
      <c r="J43" s="37">
        <f t="shared" si="25"/>
        <v>68.430500000000009</v>
      </c>
      <c r="K43" s="37">
        <f t="shared" si="25"/>
        <v>68.430500000000009</v>
      </c>
      <c r="L43" s="37">
        <f t="shared" si="25"/>
        <v>68.430500000000009</v>
      </c>
      <c r="M43" s="42">
        <f t="shared" ref="M43:Q46" si="26">AVERAGE($M32:$Q32)</f>
        <v>35.446999999999996</v>
      </c>
      <c r="N43" s="37">
        <f t="shared" si="26"/>
        <v>35.446999999999996</v>
      </c>
      <c r="O43" s="37">
        <f t="shared" si="26"/>
        <v>35.446999999999996</v>
      </c>
      <c r="P43" s="37">
        <f t="shared" si="26"/>
        <v>35.446999999999996</v>
      </c>
      <c r="Q43" s="37">
        <f t="shared" si="26"/>
        <v>35.446999999999996</v>
      </c>
      <c r="R43" s="42">
        <f t="shared" ref="R43:V46" si="27">AVERAGE($R32:$V32)</f>
        <v>6.2700000000000005</v>
      </c>
      <c r="S43" s="37">
        <f t="shared" si="27"/>
        <v>6.2700000000000005</v>
      </c>
      <c r="T43" s="37">
        <f t="shared" si="27"/>
        <v>6.2700000000000005</v>
      </c>
      <c r="U43" s="37">
        <f t="shared" si="27"/>
        <v>6.2700000000000005</v>
      </c>
      <c r="V43" s="37">
        <f t="shared" si="27"/>
        <v>6.2700000000000005</v>
      </c>
      <c r="W43" s="37">
        <f t="shared" ref="W43:AA46" si="28">AVERAGE($W32:$AA32)</f>
        <v>0.06</v>
      </c>
      <c r="X43" s="37">
        <f t="shared" si="28"/>
        <v>0.06</v>
      </c>
      <c r="Y43" s="37">
        <f t="shared" si="28"/>
        <v>0.06</v>
      </c>
      <c r="Z43" s="37">
        <f t="shared" si="28"/>
        <v>0.06</v>
      </c>
      <c r="AA43" s="37">
        <f t="shared" si="28"/>
        <v>0.06</v>
      </c>
    </row>
    <row r="44" spans="1:27" x14ac:dyDescent="0.35">
      <c r="A44" s="25"/>
      <c r="B44" s="25" t="s">
        <v>5</v>
      </c>
      <c r="C44" s="37">
        <f>AVERAGE(C33:G33)</f>
        <v>12.0816</v>
      </c>
      <c r="D44" s="37">
        <f>AVERAGE(C33:G33)</f>
        <v>12.0816</v>
      </c>
      <c r="E44" s="37">
        <f>AVERAGE(C33:G33)</f>
        <v>12.0816</v>
      </c>
      <c r="F44" s="37">
        <f>AVERAGE(C33:G33)</f>
        <v>12.0816</v>
      </c>
      <c r="G44" s="37">
        <f>AVERAGE(C33:G33)</f>
        <v>12.0816</v>
      </c>
      <c r="H44" s="42">
        <f t="shared" si="25"/>
        <v>57.198632061397419</v>
      </c>
      <c r="I44" s="37">
        <f t="shared" si="25"/>
        <v>57.198632061397419</v>
      </c>
      <c r="J44" s="37">
        <f t="shared" si="25"/>
        <v>57.198632061397419</v>
      </c>
      <c r="K44" s="37">
        <f t="shared" si="25"/>
        <v>57.198632061397419</v>
      </c>
      <c r="L44" s="37">
        <f t="shared" si="25"/>
        <v>57.198632061397419</v>
      </c>
      <c r="M44" s="42">
        <f t="shared" si="26"/>
        <v>26.439597302311181</v>
      </c>
      <c r="N44" s="37">
        <f t="shared" si="26"/>
        <v>26.439597302311181</v>
      </c>
      <c r="O44" s="37">
        <f t="shared" si="26"/>
        <v>26.439597302311181</v>
      </c>
      <c r="P44" s="37">
        <f t="shared" si="26"/>
        <v>26.439597302311181</v>
      </c>
      <c r="Q44" s="37">
        <f t="shared" si="26"/>
        <v>26.439597302311181</v>
      </c>
      <c r="R44" s="42">
        <f t="shared" si="27"/>
        <v>4.5143999999999993</v>
      </c>
      <c r="S44" s="37">
        <f t="shared" si="27"/>
        <v>4.5143999999999993</v>
      </c>
      <c r="T44" s="37">
        <f t="shared" si="27"/>
        <v>4.5143999999999993</v>
      </c>
      <c r="U44" s="37">
        <f t="shared" si="27"/>
        <v>4.5143999999999993</v>
      </c>
      <c r="V44" s="37">
        <f t="shared" si="27"/>
        <v>4.5143999999999993</v>
      </c>
      <c r="W44" s="37">
        <f t="shared" si="28"/>
        <v>4.3199999999999995E-2</v>
      </c>
      <c r="X44" s="37">
        <f t="shared" si="28"/>
        <v>4.3199999999999995E-2</v>
      </c>
      <c r="Y44" s="37">
        <f t="shared" si="28"/>
        <v>4.3199999999999995E-2</v>
      </c>
      <c r="Z44" s="37">
        <f t="shared" si="28"/>
        <v>4.3199999999999995E-2</v>
      </c>
      <c r="AA44" s="37">
        <f t="shared" si="28"/>
        <v>4.3199999999999995E-2</v>
      </c>
    </row>
    <row r="45" spans="1:27" x14ac:dyDescent="0.35">
      <c r="A45" s="25"/>
      <c r="B45" s="25" t="s">
        <v>6</v>
      </c>
      <c r="C45" s="37">
        <f>AVERAGE(C34:G34)</f>
        <v>7.2153999999999998</v>
      </c>
      <c r="D45" s="37">
        <f>AVERAGE(C34:G34)</f>
        <v>7.2153999999999998</v>
      </c>
      <c r="E45" s="37">
        <f>AVERAGE(C34:G34)</f>
        <v>7.2153999999999998</v>
      </c>
      <c r="F45" s="37">
        <f>AVERAGE(C34:G34)</f>
        <v>7.2153999999999998</v>
      </c>
      <c r="G45" s="37">
        <f>AVERAGE(C34:G34)</f>
        <v>7.2153999999999998</v>
      </c>
      <c r="H45" s="42">
        <f t="shared" si="25"/>
        <v>40.695646982552489</v>
      </c>
      <c r="I45" s="37">
        <f t="shared" si="25"/>
        <v>40.695646982552489</v>
      </c>
      <c r="J45" s="37">
        <f t="shared" si="25"/>
        <v>40.695646982552489</v>
      </c>
      <c r="K45" s="37">
        <f t="shared" si="25"/>
        <v>40.695646982552489</v>
      </c>
      <c r="L45" s="37">
        <f t="shared" si="25"/>
        <v>40.695646982552489</v>
      </c>
      <c r="M45" s="42">
        <f t="shared" si="26"/>
        <v>16.454924056024762</v>
      </c>
      <c r="N45" s="37">
        <f t="shared" si="26"/>
        <v>16.454924056024762</v>
      </c>
      <c r="O45" s="37">
        <f t="shared" si="26"/>
        <v>16.454924056024762</v>
      </c>
      <c r="P45" s="37">
        <f t="shared" si="26"/>
        <v>16.454924056024762</v>
      </c>
      <c r="Q45" s="37">
        <f t="shared" si="26"/>
        <v>16.454924056024762</v>
      </c>
      <c r="R45" s="42">
        <f t="shared" si="27"/>
        <v>2.6961000000000004</v>
      </c>
      <c r="S45" s="37">
        <f t="shared" si="27"/>
        <v>2.6961000000000004</v>
      </c>
      <c r="T45" s="37">
        <f t="shared" si="27"/>
        <v>2.6961000000000004</v>
      </c>
      <c r="U45" s="37">
        <f t="shared" si="27"/>
        <v>2.6961000000000004</v>
      </c>
      <c r="V45" s="37">
        <f t="shared" si="27"/>
        <v>2.6961000000000004</v>
      </c>
      <c r="W45" s="37">
        <f t="shared" si="28"/>
        <v>2.58E-2</v>
      </c>
      <c r="X45" s="37">
        <f t="shared" si="28"/>
        <v>2.58E-2</v>
      </c>
      <c r="Y45" s="37">
        <f t="shared" si="28"/>
        <v>2.58E-2</v>
      </c>
      <c r="Z45" s="37">
        <f t="shared" si="28"/>
        <v>2.58E-2</v>
      </c>
      <c r="AA45" s="37">
        <f t="shared" si="28"/>
        <v>2.58E-2</v>
      </c>
    </row>
    <row r="46" spans="1:27" x14ac:dyDescent="0.35">
      <c r="A46" s="25"/>
      <c r="B46" s="25" t="s">
        <v>7</v>
      </c>
      <c r="C46" s="37">
        <f>AVERAGE(C35:G35)</f>
        <v>4.6984000000000012</v>
      </c>
      <c r="D46" s="37">
        <f>AVERAGE(C35:G35)</f>
        <v>4.6984000000000012</v>
      </c>
      <c r="E46" s="37">
        <f>AVERAGE(C35:G35)</f>
        <v>4.6984000000000012</v>
      </c>
      <c r="F46" s="37">
        <f>AVERAGE(C35:G35)</f>
        <v>4.6984000000000012</v>
      </c>
      <c r="G46" s="37">
        <f>AVERAGE(C35:G35)</f>
        <v>4.6984000000000012</v>
      </c>
      <c r="H46" s="42">
        <f t="shared" si="25"/>
        <v>29.679031302128188</v>
      </c>
      <c r="I46" s="37">
        <f t="shared" si="25"/>
        <v>29.679031302128188</v>
      </c>
      <c r="J46" s="37">
        <f t="shared" si="25"/>
        <v>29.679031302128188</v>
      </c>
      <c r="K46" s="37">
        <f t="shared" si="25"/>
        <v>29.679031302128188</v>
      </c>
      <c r="L46" s="37">
        <f t="shared" si="25"/>
        <v>29.679031302128188</v>
      </c>
      <c r="M46" s="42">
        <f t="shared" si="26"/>
        <v>10.996586144273451</v>
      </c>
      <c r="N46" s="37">
        <f t="shared" si="26"/>
        <v>10.996586144273451</v>
      </c>
      <c r="O46" s="37">
        <f t="shared" si="26"/>
        <v>10.996586144273451</v>
      </c>
      <c r="P46" s="37">
        <f t="shared" si="26"/>
        <v>10.996586144273451</v>
      </c>
      <c r="Q46" s="37">
        <f t="shared" si="26"/>
        <v>10.996586144273451</v>
      </c>
      <c r="R46" s="42">
        <f t="shared" si="27"/>
        <v>1.7556</v>
      </c>
      <c r="S46" s="37">
        <f t="shared" si="27"/>
        <v>1.7556</v>
      </c>
      <c r="T46" s="37">
        <f t="shared" si="27"/>
        <v>1.7556</v>
      </c>
      <c r="U46" s="37">
        <f t="shared" si="27"/>
        <v>1.7556</v>
      </c>
      <c r="V46" s="37">
        <f t="shared" si="27"/>
        <v>1.7556</v>
      </c>
      <c r="W46" s="37">
        <f t="shared" si="28"/>
        <v>1.6800000000000002E-2</v>
      </c>
      <c r="X46" s="37">
        <f t="shared" si="28"/>
        <v>1.6800000000000002E-2</v>
      </c>
      <c r="Y46" s="37">
        <f t="shared" si="28"/>
        <v>1.6800000000000002E-2</v>
      </c>
      <c r="Z46" s="37">
        <f t="shared" si="28"/>
        <v>1.6800000000000002E-2</v>
      </c>
      <c r="AA46" s="37">
        <f t="shared" si="28"/>
        <v>1.6800000000000002E-2</v>
      </c>
    </row>
    <row r="47" spans="1:27" x14ac:dyDescent="0.35">
      <c r="A47" s="25" t="s">
        <v>1</v>
      </c>
      <c r="B47" s="25"/>
      <c r="C47" s="37"/>
      <c r="D47" s="37"/>
      <c r="E47" s="37"/>
      <c r="F47" s="37"/>
      <c r="G47" s="37"/>
      <c r="H47" s="42"/>
      <c r="I47" s="37"/>
      <c r="J47" s="37"/>
      <c r="K47" s="37"/>
      <c r="L47" s="37"/>
      <c r="M47" s="42"/>
      <c r="N47" s="37"/>
      <c r="O47" s="37"/>
      <c r="P47" s="37"/>
      <c r="Q47" s="37"/>
      <c r="R47" s="42"/>
      <c r="S47" s="37"/>
      <c r="T47" s="37"/>
      <c r="U47" s="37"/>
      <c r="V47" s="37"/>
      <c r="W47" s="37"/>
      <c r="X47" s="37"/>
      <c r="Y47" s="37"/>
      <c r="Z47" s="37"/>
      <c r="AA47" s="37"/>
    </row>
    <row r="48" spans="1:27" x14ac:dyDescent="0.35">
      <c r="A48" s="25"/>
      <c r="B48" s="25" t="s">
        <v>4</v>
      </c>
      <c r="C48" s="37">
        <f>AVERAGE(C37:G37)</f>
        <v>16.78</v>
      </c>
      <c r="D48" s="37">
        <f>AVERAGE(C37:G37)</f>
        <v>16.78</v>
      </c>
      <c r="E48" s="37">
        <f>AVERAGE(C37:G37)</f>
        <v>16.78</v>
      </c>
      <c r="F48" s="37">
        <f>AVERAGE(C37:G37)</f>
        <v>16.78</v>
      </c>
      <c r="G48" s="37">
        <f>AVERAGE(C37:G37)</f>
        <v>16.78</v>
      </c>
      <c r="H48" s="42">
        <f t="shared" ref="H48:L51" si="29">AVERAGE($H37:$L37)</f>
        <v>49.595624999999998</v>
      </c>
      <c r="I48" s="37">
        <f t="shared" si="29"/>
        <v>49.595624999999998</v>
      </c>
      <c r="J48" s="37">
        <f t="shared" si="29"/>
        <v>49.595624999999998</v>
      </c>
      <c r="K48" s="37">
        <f t="shared" si="29"/>
        <v>49.595624999999998</v>
      </c>
      <c r="L48" s="37">
        <f t="shared" si="29"/>
        <v>49.595624999999998</v>
      </c>
      <c r="M48" s="42">
        <f t="shared" ref="M48:Q51" si="30">AVERAGE($M37:$Q37)</f>
        <v>20.446874999999999</v>
      </c>
      <c r="N48" s="37">
        <f t="shared" si="30"/>
        <v>20.446874999999999</v>
      </c>
      <c r="O48" s="37">
        <f t="shared" si="30"/>
        <v>20.446874999999999</v>
      </c>
      <c r="P48" s="37">
        <f t="shared" si="30"/>
        <v>20.446874999999999</v>
      </c>
      <c r="Q48" s="37">
        <f t="shared" si="30"/>
        <v>20.446874999999999</v>
      </c>
      <c r="R48" s="42">
        <f t="shared" ref="R48:V51" si="31">AVERAGE($R37:$V37)</f>
        <v>1.7400000000000002</v>
      </c>
      <c r="S48" s="37">
        <f t="shared" si="31"/>
        <v>1.7400000000000002</v>
      </c>
      <c r="T48" s="37">
        <f t="shared" si="31"/>
        <v>1.7400000000000002</v>
      </c>
      <c r="U48" s="37">
        <f t="shared" si="31"/>
        <v>1.7400000000000002</v>
      </c>
      <c r="V48" s="37">
        <f t="shared" si="31"/>
        <v>1.7400000000000002</v>
      </c>
      <c r="W48" s="37">
        <f t="shared" ref="W48:AA51" si="32">AVERAGE($W37:$AA37)</f>
        <v>0</v>
      </c>
      <c r="X48" s="37">
        <f t="shared" si="32"/>
        <v>0</v>
      </c>
      <c r="Y48" s="37">
        <f t="shared" si="32"/>
        <v>0</v>
      </c>
      <c r="Z48" s="37">
        <f t="shared" si="32"/>
        <v>0</v>
      </c>
      <c r="AA48" s="37">
        <f t="shared" si="32"/>
        <v>0</v>
      </c>
    </row>
    <row r="49" spans="1:27" x14ac:dyDescent="0.35">
      <c r="A49" s="25"/>
      <c r="B49" s="25" t="s">
        <v>5</v>
      </c>
      <c r="C49" s="37">
        <f>AVERAGE(C38:G38)</f>
        <v>12.0816</v>
      </c>
      <c r="D49" s="37">
        <f>AVERAGE(C38:G38)</f>
        <v>12.0816</v>
      </c>
      <c r="E49" s="37">
        <f>AVERAGE(C38:G38)</f>
        <v>12.0816</v>
      </c>
      <c r="F49" s="37">
        <f>AVERAGE(C38:G38)</f>
        <v>12.0816</v>
      </c>
      <c r="G49" s="37">
        <f>AVERAGE(C38:G38)</f>
        <v>12.0816</v>
      </c>
      <c r="H49" s="42">
        <f t="shared" si="29"/>
        <v>37.345140960690884</v>
      </c>
      <c r="I49" s="37">
        <f t="shared" si="29"/>
        <v>37.345140960690884</v>
      </c>
      <c r="J49" s="37">
        <f t="shared" si="29"/>
        <v>37.345140960690884</v>
      </c>
      <c r="K49" s="37">
        <f t="shared" si="29"/>
        <v>37.345140960690884</v>
      </c>
      <c r="L49" s="37">
        <f t="shared" si="29"/>
        <v>37.345140960690884</v>
      </c>
      <c r="M49" s="42">
        <f t="shared" si="30"/>
        <v>14.772356936928583</v>
      </c>
      <c r="N49" s="37">
        <f t="shared" si="30"/>
        <v>14.772356936928583</v>
      </c>
      <c r="O49" s="37">
        <f t="shared" si="30"/>
        <v>14.772356936928583</v>
      </c>
      <c r="P49" s="37">
        <f t="shared" si="30"/>
        <v>14.772356936928583</v>
      </c>
      <c r="Q49" s="37">
        <f t="shared" si="30"/>
        <v>14.772356936928583</v>
      </c>
      <c r="R49" s="42">
        <f t="shared" si="31"/>
        <v>1.2527999999999999</v>
      </c>
      <c r="S49" s="37">
        <f t="shared" si="31"/>
        <v>1.2527999999999999</v>
      </c>
      <c r="T49" s="37">
        <f t="shared" si="31"/>
        <v>1.2527999999999999</v>
      </c>
      <c r="U49" s="37">
        <f t="shared" si="31"/>
        <v>1.2527999999999999</v>
      </c>
      <c r="V49" s="37">
        <f t="shared" si="31"/>
        <v>1.2527999999999999</v>
      </c>
      <c r="W49" s="37">
        <f t="shared" si="32"/>
        <v>0</v>
      </c>
      <c r="X49" s="37">
        <f t="shared" si="32"/>
        <v>0</v>
      </c>
      <c r="Y49" s="37">
        <f t="shared" si="32"/>
        <v>0</v>
      </c>
      <c r="Z49" s="37">
        <f t="shared" si="32"/>
        <v>0</v>
      </c>
      <c r="AA49" s="37">
        <f t="shared" si="32"/>
        <v>0</v>
      </c>
    </row>
    <row r="50" spans="1:27" x14ac:dyDescent="0.35">
      <c r="A50" s="25"/>
      <c r="B50" s="25" t="s">
        <v>6</v>
      </c>
      <c r="C50" s="37">
        <f>AVERAGE(C39:G39)</f>
        <v>7.2153999999999998</v>
      </c>
      <c r="D50" s="37">
        <f>AVERAGE(C39:G39)</f>
        <v>7.2153999999999998</v>
      </c>
      <c r="E50" s="37">
        <f>AVERAGE(C39:G39)</f>
        <v>7.2153999999999998</v>
      </c>
      <c r="F50" s="37">
        <f>AVERAGE(C39:G39)</f>
        <v>7.2153999999999998</v>
      </c>
      <c r="G50" s="37">
        <f>AVERAGE(C39:G39)</f>
        <v>7.2153999999999998</v>
      </c>
      <c r="H50" s="42">
        <f t="shared" si="29"/>
        <v>23.49987322435312</v>
      </c>
      <c r="I50" s="37">
        <f t="shared" si="29"/>
        <v>23.49987322435312</v>
      </c>
      <c r="J50" s="37">
        <f t="shared" si="29"/>
        <v>23.49987322435312</v>
      </c>
      <c r="K50" s="37">
        <f t="shared" si="29"/>
        <v>23.49987322435312</v>
      </c>
      <c r="L50" s="37">
        <f t="shared" si="29"/>
        <v>23.49987322435312</v>
      </c>
      <c r="M50" s="42">
        <f t="shared" si="30"/>
        <v>8.8593857698253551</v>
      </c>
      <c r="N50" s="37">
        <f t="shared" si="30"/>
        <v>8.8593857698253551</v>
      </c>
      <c r="O50" s="37">
        <f t="shared" si="30"/>
        <v>8.8593857698253551</v>
      </c>
      <c r="P50" s="37">
        <f t="shared" si="30"/>
        <v>8.8593857698253551</v>
      </c>
      <c r="Q50" s="37">
        <f t="shared" si="30"/>
        <v>8.8593857698253551</v>
      </c>
      <c r="R50" s="42">
        <f t="shared" si="31"/>
        <v>0.74819999999999998</v>
      </c>
      <c r="S50" s="37">
        <f t="shared" si="31"/>
        <v>0.74819999999999998</v>
      </c>
      <c r="T50" s="37">
        <f t="shared" si="31"/>
        <v>0.74819999999999998</v>
      </c>
      <c r="U50" s="37">
        <f t="shared" si="31"/>
        <v>0.74819999999999998</v>
      </c>
      <c r="V50" s="37">
        <f t="shared" si="31"/>
        <v>0.74819999999999998</v>
      </c>
      <c r="W50" s="37">
        <f t="shared" si="32"/>
        <v>0</v>
      </c>
      <c r="X50" s="37">
        <f t="shared" si="32"/>
        <v>0</v>
      </c>
      <c r="Y50" s="37">
        <f t="shared" si="32"/>
        <v>0</v>
      </c>
      <c r="Z50" s="37">
        <f t="shared" si="32"/>
        <v>0</v>
      </c>
      <c r="AA50" s="37">
        <f t="shared" si="32"/>
        <v>0</v>
      </c>
    </row>
    <row r="51" spans="1:27" ht="15" thickBot="1" x14ac:dyDescent="0.4">
      <c r="A51" s="8"/>
      <c r="B51" s="8" t="s">
        <v>7</v>
      </c>
      <c r="C51" s="43">
        <f>AVERAGE(C40:G40)</f>
        <v>4.6984000000000012</v>
      </c>
      <c r="D51" s="43">
        <f>AVERAGE(C40:G40)</f>
        <v>4.6984000000000012</v>
      </c>
      <c r="E51" s="43">
        <f>AVERAGE(C40:G40)</f>
        <v>4.6984000000000012</v>
      </c>
      <c r="F51" s="43">
        <f>AVERAGE(C40:G40)</f>
        <v>4.6984000000000012</v>
      </c>
      <c r="G51" s="43">
        <f>AVERAGE(C40:G40)</f>
        <v>4.6984000000000012</v>
      </c>
      <c r="H51" s="44">
        <f t="shared" si="29"/>
        <v>15.634252535772685</v>
      </c>
      <c r="I51" s="43">
        <f t="shared" si="29"/>
        <v>15.634252535772685</v>
      </c>
      <c r="J51" s="43">
        <f t="shared" si="29"/>
        <v>15.634252535772685</v>
      </c>
      <c r="K51" s="43">
        <f t="shared" si="29"/>
        <v>15.634252535772685</v>
      </c>
      <c r="L51" s="43">
        <f t="shared" si="29"/>
        <v>15.634252535772685</v>
      </c>
      <c r="M51" s="44">
        <f t="shared" si="30"/>
        <v>5.7791706969826615</v>
      </c>
      <c r="N51" s="43">
        <f t="shared" si="30"/>
        <v>5.7791706969826615</v>
      </c>
      <c r="O51" s="43">
        <f t="shared" si="30"/>
        <v>5.7791706969826615</v>
      </c>
      <c r="P51" s="43">
        <f t="shared" si="30"/>
        <v>5.7791706969826615</v>
      </c>
      <c r="Q51" s="43">
        <f t="shared" si="30"/>
        <v>5.7791706969826615</v>
      </c>
      <c r="R51" s="44">
        <f t="shared" si="31"/>
        <v>0.48720000000000008</v>
      </c>
      <c r="S51" s="43">
        <f t="shared" si="31"/>
        <v>0.48720000000000008</v>
      </c>
      <c r="T51" s="43">
        <f t="shared" si="31"/>
        <v>0.48720000000000008</v>
      </c>
      <c r="U51" s="43">
        <f t="shared" si="31"/>
        <v>0.48720000000000008</v>
      </c>
      <c r="V51" s="43">
        <f t="shared" si="31"/>
        <v>0.48720000000000008</v>
      </c>
      <c r="W51" s="43">
        <f t="shared" si="32"/>
        <v>0</v>
      </c>
      <c r="X51" s="43">
        <f t="shared" si="32"/>
        <v>0</v>
      </c>
      <c r="Y51" s="43">
        <f t="shared" si="32"/>
        <v>0</v>
      </c>
      <c r="Z51" s="43">
        <f t="shared" si="32"/>
        <v>0</v>
      </c>
      <c r="AA51" s="43">
        <f t="shared" si="32"/>
        <v>0</v>
      </c>
    </row>
  </sheetData>
  <mergeCells count="7">
    <mergeCell ref="F16:G16"/>
    <mergeCell ref="O16:P16"/>
    <mergeCell ref="R16:S16"/>
    <mergeCell ref="H42:L42"/>
    <mergeCell ref="M42:Q42"/>
    <mergeCell ref="L16:M16"/>
    <mergeCell ref="I16:J16"/>
  </mergeCells>
  <conditionalFormatting sqref="C43:V51 C42:H42 M42 R42:V42 C21:V41 C21:AA29">
    <cfRule type="dataBar" priority="11">
      <dataBar>
        <cfvo type="min"/>
        <cfvo type="max"/>
        <color rgb="FFFF555A"/>
      </dataBar>
      <extLst>
        <ext xmlns:x14="http://schemas.microsoft.com/office/spreadsheetml/2009/9/main" uri="{B025F937-C7B1-47D3-B67F-A62EFF666E3E}">
          <x14:id>{855A303B-F314-40CA-A47C-B9856C094D9E}</x14:id>
        </ext>
      </extLst>
    </cfRule>
  </conditionalFormatting>
  <conditionalFormatting sqref="C43:V51">
    <cfRule type="dataBar" priority="10">
      <dataBar>
        <cfvo type="min"/>
        <cfvo type="max"/>
        <color rgb="FFFFB628"/>
      </dataBar>
      <extLst>
        <ext xmlns:x14="http://schemas.microsoft.com/office/spreadsheetml/2009/9/main" uri="{B025F937-C7B1-47D3-B67F-A62EFF666E3E}">
          <x14:id>{CA904974-DB4E-46A6-A0CA-30AC7D34196A}</x14:id>
        </ext>
      </extLst>
    </cfRule>
  </conditionalFormatting>
  <conditionalFormatting sqref="W21:AA51">
    <cfRule type="dataBar" priority="12">
      <dataBar>
        <cfvo type="min"/>
        <cfvo type="max"/>
        <color rgb="FFFF555A"/>
      </dataBar>
      <extLst>
        <ext xmlns:x14="http://schemas.microsoft.com/office/spreadsheetml/2009/9/main" uri="{B025F937-C7B1-47D3-B67F-A62EFF666E3E}">
          <x14:id>{C4E4716D-5079-40A8-BABA-914C8ABBC350}</x14:id>
        </ext>
      </extLst>
    </cfRule>
  </conditionalFormatting>
  <conditionalFormatting sqref="W43:AA51">
    <cfRule type="dataBar" priority="13">
      <dataBar>
        <cfvo type="min"/>
        <cfvo type="max"/>
        <color rgb="FFFFB628"/>
      </dataBar>
      <extLst>
        <ext xmlns:x14="http://schemas.microsoft.com/office/spreadsheetml/2009/9/main" uri="{B025F937-C7B1-47D3-B67F-A62EFF666E3E}">
          <x14:id>{5271465E-F715-4993-B596-14DC21379AB3}</x14:id>
        </ext>
      </extLst>
    </cfRule>
  </conditionalFormatting>
  <conditionalFormatting sqref="C43:AA51">
    <cfRule type="dataBar" priority="3">
      <dataBar>
        <cfvo type="min"/>
        <cfvo type="max"/>
        <color rgb="FFFF555A"/>
      </dataBar>
      <extLst>
        <ext xmlns:x14="http://schemas.microsoft.com/office/spreadsheetml/2009/9/main" uri="{B025F937-C7B1-47D3-B67F-A62EFF666E3E}">
          <x14:id>{BD62D755-5A46-454B-8330-49C4C62C77FE}</x14:id>
        </ext>
      </extLst>
    </cfRule>
  </conditionalFormatting>
  <conditionalFormatting sqref="C21:AA51">
    <cfRule type="dataBar" priority="2">
      <dataBar>
        <cfvo type="min"/>
        <cfvo type="max"/>
        <color rgb="FFFF555A"/>
      </dataBar>
      <extLst>
        <ext xmlns:x14="http://schemas.microsoft.com/office/spreadsheetml/2009/9/main" uri="{B025F937-C7B1-47D3-B67F-A62EFF666E3E}">
          <x14:id>{B9EC8ADD-D3B5-4592-889E-2007B985CE43}</x14:id>
        </ext>
      </extLst>
    </cfRule>
  </conditionalFormatting>
  <conditionalFormatting sqref="C17:AA18">
    <cfRule type="expression" dxfId="0" priority="1">
      <formula>C10&gt;$K$16</formula>
    </cfRule>
  </conditionalFormatting>
  <dataValidations count="1">
    <dataValidation type="list" allowBlank="1" showInputMessage="1" showErrorMessage="1" sqref="H16" xr:uid="{00000000-0002-0000-0000-000000000000}">
      <formula1>$AY$1:$AY$2</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855A303B-F314-40CA-A47C-B9856C094D9E}">
            <x14:dataBar minLength="0" maxLength="100" gradient="0">
              <x14:cfvo type="autoMin"/>
              <x14:cfvo type="autoMax"/>
              <x14:negativeFillColor rgb="FFFF0000"/>
              <x14:axisColor rgb="FF000000"/>
            </x14:dataBar>
          </x14:cfRule>
          <xm:sqref>C43:V51 C42:H42 M42 R42:V42 C21:V41 C21:AA29</xm:sqref>
        </x14:conditionalFormatting>
        <x14:conditionalFormatting xmlns:xm="http://schemas.microsoft.com/office/excel/2006/main">
          <x14:cfRule type="dataBar" id="{CA904974-DB4E-46A6-A0CA-30AC7D34196A}">
            <x14:dataBar minLength="0" maxLength="100" gradient="0">
              <x14:cfvo type="autoMin"/>
              <x14:cfvo type="autoMax"/>
              <x14:negativeFillColor rgb="FFFF0000"/>
              <x14:axisColor rgb="FF000000"/>
            </x14:dataBar>
          </x14:cfRule>
          <xm:sqref>C43:V51</xm:sqref>
        </x14:conditionalFormatting>
        <x14:conditionalFormatting xmlns:xm="http://schemas.microsoft.com/office/excel/2006/main">
          <x14:cfRule type="dataBar" id="{C4E4716D-5079-40A8-BABA-914C8ABBC350}">
            <x14:dataBar minLength="0" maxLength="100" gradient="0">
              <x14:cfvo type="autoMin"/>
              <x14:cfvo type="autoMax"/>
              <x14:negativeFillColor rgb="FFFF0000"/>
              <x14:axisColor rgb="FF000000"/>
            </x14:dataBar>
          </x14:cfRule>
          <xm:sqref>W21:AA51</xm:sqref>
        </x14:conditionalFormatting>
        <x14:conditionalFormatting xmlns:xm="http://schemas.microsoft.com/office/excel/2006/main">
          <x14:cfRule type="dataBar" id="{5271465E-F715-4993-B596-14DC21379AB3}">
            <x14:dataBar minLength="0" maxLength="100" gradient="0">
              <x14:cfvo type="autoMin"/>
              <x14:cfvo type="autoMax"/>
              <x14:negativeFillColor rgb="FFFF0000"/>
              <x14:axisColor rgb="FF000000"/>
            </x14:dataBar>
          </x14:cfRule>
          <xm:sqref>W43:AA51</xm:sqref>
        </x14:conditionalFormatting>
        <x14:conditionalFormatting xmlns:xm="http://schemas.microsoft.com/office/excel/2006/main">
          <x14:cfRule type="dataBar" id="{BD62D755-5A46-454B-8330-49C4C62C77FE}">
            <x14:dataBar minLength="0" maxLength="100" border="1" negativeBarBorderColorSameAsPositive="0">
              <x14:cfvo type="autoMin"/>
              <x14:cfvo type="autoMax"/>
              <x14:borderColor rgb="FFFF555A"/>
              <x14:negativeFillColor rgb="FFFF0000"/>
              <x14:negativeBorderColor rgb="FFFF0000"/>
              <x14:axisColor rgb="FF000000"/>
            </x14:dataBar>
          </x14:cfRule>
          <xm:sqref>C43:AA51</xm:sqref>
        </x14:conditionalFormatting>
        <x14:conditionalFormatting xmlns:xm="http://schemas.microsoft.com/office/excel/2006/main">
          <x14:cfRule type="dataBar" id="{B9EC8ADD-D3B5-4592-889E-2007B985CE43}">
            <x14:dataBar minLength="0" maxLength="100" border="1" negativeBarBorderColorSameAsPositive="0">
              <x14:cfvo type="autoMin"/>
              <x14:cfvo type="autoMax"/>
              <x14:borderColor rgb="FFFF555A"/>
              <x14:negativeFillColor rgb="FFFF0000"/>
              <x14:negativeBorderColor rgb="FFFF0000"/>
              <x14:axisColor rgb="FF000000"/>
            </x14:dataBar>
          </x14:cfRule>
          <xm:sqref>C21:AA51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topLeftCell="A6" workbookViewId="0">
      <selection activeCell="E25" sqref="E25"/>
    </sheetView>
  </sheetViews>
  <sheetFormatPr defaultRowHeight="14.5" x14ac:dyDescent="0.35"/>
  <cols>
    <col min="1" max="1" width="4.1796875" customWidth="1"/>
    <col min="2" max="5" width="6.6328125" customWidth="1"/>
    <col min="6" max="6" width="3.36328125" customWidth="1"/>
  </cols>
  <sheetData>
    <row r="1" spans="1:6" s="24" customFormat="1" x14ac:dyDescent="0.35">
      <c r="A1" s="1" t="s">
        <v>16</v>
      </c>
    </row>
    <row r="2" spans="1:6" s="24" customFormat="1" x14ac:dyDescent="0.35"/>
    <row r="3" spans="1:6" s="24" customFormat="1" x14ac:dyDescent="0.35">
      <c r="A3" s="29"/>
      <c r="B3" s="29" t="s">
        <v>17</v>
      </c>
      <c r="C3" s="30"/>
      <c r="D3" s="30"/>
      <c r="E3" s="30"/>
    </row>
    <row r="4" spans="1:6" x14ac:dyDescent="0.35">
      <c r="A4" s="1" t="s">
        <v>14</v>
      </c>
      <c r="B4" s="1" t="s">
        <v>4</v>
      </c>
      <c r="C4" s="1" t="s">
        <v>5</v>
      </c>
      <c r="D4" s="1" t="s">
        <v>6</v>
      </c>
      <c r="E4" s="1" t="s">
        <v>7</v>
      </c>
    </row>
    <row r="5" spans="1:6" x14ac:dyDescent="0.35">
      <c r="A5" s="1">
        <v>0</v>
      </c>
      <c r="B5" s="2">
        <f t="shared" ref="B5:B21" si="0">MIN(A5,100)</f>
        <v>0</v>
      </c>
      <c r="C5" s="35">
        <f t="shared" ref="C5:C11" si="1">$B5*0.72</f>
        <v>0</v>
      </c>
      <c r="D5" s="35">
        <f t="shared" ref="D5:D11" si="2">$B5*0.43</f>
        <v>0</v>
      </c>
      <c r="E5" s="35">
        <v>0</v>
      </c>
      <c r="F5" s="72" t="s">
        <v>22</v>
      </c>
    </row>
    <row r="6" spans="1:6" x14ac:dyDescent="0.35">
      <c r="A6" s="1">
        <f>A5+10</f>
        <v>10</v>
      </c>
      <c r="B6" s="2">
        <f t="shared" si="0"/>
        <v>10</v>
      </c>
      <c r="C6" s="35">
        <f t="shared" si="1"/>
        <v>7.1999999999999993</v>
      </c>
      <c r="D6" s="35">
        <f t="shared" si="2"/>
        <v>4.3</v>
      </c>
      <c r="E6" s="35">
        <f t="shared" ref="E6:E11" si="3">$B6*0.28</f>
        <v>2.8000000000000003</v>
      </c>
      <c r="F6" s="72"/>
    </row>
    <row r="7" spans="1:6" x14ac:dyDescent="0.35">
      <c r="A7" s="1">
        <f t="shared" ref="A7:A31" si="4">A6+10</f>
        <v>20</v>
      </c>
      <c r="B7" s="2">
        <f t="shared" si="0"/>
        <v>20</v>
      </c>
      <c r="C7" s="35">
        <f t="shared" si="1"/>
        <v>14.399999999999999</v>
      </c>
      <c r="D7" s="35">
        <f t="shared" si="2"/>
        <v>8.6</v>
      </c>
      <c r="E7" s="35">
        <f t="shared" si="3"/>
        <v>5.6000000000000005</v>
      </c>
      <c r="F7" s="72"/>
    </row>
    <row r="8" spans="1:6" x14ac:dyDescent="0.35">
      <c r="A8" s="1">
        <f t="shared" si="4"/>
        <v>30</v>
      </c>
      <c r="B8" s="2">
        <f t="shared" si="0"/>
        <v>30</v>
      </c>
      <c r="C8" s="35">
        <f t="shared" si="1"/>
        <v>21.599999999999998</v>
      </c>
      <c r="D8" s="35">
        <f t="shared" si="2"/>
        <v>12.9</v>
      </c>
      <c r="E8" s="35">
        <f t="shared" si="3"/>
        <v>8.4</v>
      </c>
      <c r="F8" s="72"/>
    </row>
    <row r="9" spans="1:6" x14ac:dyDescent="0.35">
      <c r="A9" s="1">
        <f t="shared" si="4"/>
        <v>40</v>
      </c>
      <c r="B9" s="2">
        <f t="shared" si="0"/>
        <v>40</v>
      </c>
      <c r="C9" s="35">
        <f t="shared" si="1"/>
        <v>28.799999999999997</v>
      </c>
      <c r="D9" s="35">
        <f t="shared" si="2"/>
        <v>17.2</v>
      </c>
      <c r="E9" s="35">
        <f t="shared" si="3"/>
        <v>11.200000000000001</v>
      </c>
      <c r="F9" s="72"/>
    </row>
    <row r="10" spans="1:6" x14ac:dyDescent="0.35">
      <c r="A10" s="1">
        <f t="shared" si="4"/>
        <v>50</v>
      </c>
      <c r="B10" s="2">
        <f t="shared" si="0"/>
        <v>50</v>
      </c>
      <c r="C10" s="35">
        <f t="shared" si="1"/>
        <v>36</v>
      </c>
      <c r="D10" s="35">
        <f t="shared" si="2"/>
        <v>21.5</v>
      </c>
      <c r="E10" s="35">
        <f t="shared" si="3"/>
        <v>14.000000000000002</v>
      </c>
      <c r="F10" s="72"/>
    </row>
    <row r="11" spans="1:6" x14ac:dyDescent="0.35">
      <c r="A11" s="1">
        <f t="shared" si="4"/>
        <v>60</v>
      </c>
      <c r="B11" s="2">
        <f t="shared" si="0"/>
        <v>60</v>
      </c>
      <c r="C11" s="35">
        <f t="shared" si="1"/>
        <v>43.199999999999996</v>
      </c>
      <c r="D11" s="35">
        <f t="shared" si="2"/>
        <v>25.8</v>
      </c>
      <c r="E11" s="35">
        <f t="shared" si="3"/>
        <v>16.8</v>
      </c>
      <c r="F11" s="72"/>
    </row>
    <row r="12" spans="1:6" x14ac:dyDescent="0.35">
      <c r="A12" s="1">
        <f t="shared" si="4"/>
        <v>70</v>
      </c>
      <c r="B12" s="2">
        <f t="shared" si="0"/>
        <v>70</v>
      </c>
      <c r="C12" s="36">
        <f>C$39/(1+EXP(-C$38*($A12-C$40)))</f>
        <v>54.983399731247793</v>
      </c>
      <c r="D12" s="36">
        <f t="shared" ref="C12:E35" si="5">D$39/(1+EXP(-D$38*($A12-D$40)))</f>
        <v>33.451543053417041</v>
      </c>
      <c r="E12" s="36">
        <f t="shared" si="5"/>
        <v>20.738008065427682</v>
      </c>
      <c r="F12" s="71" t="s">
        <v>23</v>
      </c>
    </row>
    <row r="13" spans="1:6" x14ac:dyDescent="0.35">
      <c r="A13" s="1">
        <f t="shared" si="4"/>
        <v>80</v>
      </c>
      <c r="B13" s="2">
        <f t="shared" si="0"/>
        <v>80</v>
      </c>
      <c r="C13" s="36">
        <f>C$39/(1+EXP(-C$38*($A13-C$40)))</f>
        <v>64.565630622579548</v>
      </c>
      <c r="D13" s="36">
        <f t="shared" si="5"/>
        <v>41.072518148662908</v>
      </c>
      <c r="E13" s="36">
        <f t="shared" si="5"/>
        <v>26.544978226546711</v>
      </c>
      <c r="F13" s="71"/>
    </row>
    <row r="14" spans="1:6" x14ac:dyDescent="0.35">
      <c r="A14" s="1">
        <v>90</v>
      </c>
      <c r="B14" s="2">
        <f t="shared" si="0"/>
        <v>90</v>
      </c>
      <c r="C14" s="36">
        <f t="shared" si="5"/>
        <v>73.10585786300048</v>
      </c>
      <c r="D14" s="36">
        <f t="shared" si="5"/>
        <v>48.927481851337099</v>
      </c>
      <c r="E14" s="36">
        <f t="shared" si="5"/>
        <v>33.070593686613599</v>
      </c>
      <c r="F14" s="71"/>
    </row>
    <row r="15" spans="1:6" x14ac:dyDescent="0.35">
      <c r="A15" s="1">
        <f t="shared" si="4"/>
        <v>100</v>
      </c>
      <c r="B15" s="2">
        <f t="shared" si="0"/>
        <v>100</v>
      </c>
      <c r="C15" s="36">
        <f t="shared" si="5"/>
        <v>80.21838885585818</v>
      </c>
      <c r="D15" s="36">
        <f t="shared" si="5"/>
        <v>56.548456946582967</v>
      </c>
      <c r="E15" s="36">
        <f t="shared" si="5"/>
        <v>40</v>
      </c>
      <c r="F15" s="71"/>
    </row>
    <row r="16" spans="1:6" x14ac:dyDescent="0.35">
      <c r="A16" s="1">
        <f t="shared" si="4"/>
        <v>110</v>
      </c>
      <c r="B16" s="2">
        <f t="shared" si="0"/>
        <v>100</v>
      </c>
      <c r="C16" s="36">
        <f t="shared" si="5"/>
        <v>85.814893509951233</v>
      </c>
      <c r="D16" s="36">
        <f t="shared" si="5"/>
        <v>63.520652505331022</v>
      </c>
      <c r="E16" s="36">
        <f t="shared" si="5"/>
        <v>46.929406313386409</v>
      </c>
      <c r="F16" s="71"/>
    </row>
    <row r="17" spans="1:6" x14ac:dyDescent="0.35">
      <c r="A17" s="1">
        <f t="shared" si="4"/>
        <v>120</v>
      </c>
      <c r="B17" s="2">
        <f t="shared" si="0"/>
        <v>100</v>
      </c>
      <c r="C17" s="36">
        <f t="shared" si="5"/>
        <v>90.024951088031486</v>
      </c>
      <c r="D17" s="36">
        <f t="shared" si="5"/>
        <v>69.564803345706466</v>
      </c>
      <c r="E17" s="36">
        <f t="shared" si="5"/>
        <v>53.455021773453289</v>
      </c>
      <c r="F17" s="71"/>
    </row>
    <row r="18" spans="1:6" x14ac:dyDescent="0.35">
      <c r="A18" s="1">
        <f t="shared" si="4"/>
        <v>130</v>
      </c>
      <c r="B18" s="2">
        <f t="shared" si="0"/>
        <v>100</v>
      </c>
      <c r="C18" s="36">
        <f t="shared" si="5"/>
        <v>93.086157965665322</v>
      </c>
      <c r="D18" s="36">
        <f t="shared" si="5"/>
        <v>74.564570702213928</v>
      </c>
      <c r="E18" s="36">
        <f t="shared" si="5"/>
        <v>59.261991934572322</v>
      </c>
      <c r="F18" s="71"/>
    </row>
    <row r="19" spans="1:6" x14ac:dyDescent="0.35">
      <c r="A19" s="1">
        <f t="shared" si="4"/>
        <v>140</v>
      </c>
      <c r="B19" s="2">
        <f t="shared" si="0"/>
        <v>100</v>
      </c>
      <c r="C19" s="36">
        <f t="shared" si="5"/>
        <v>95.257412682243327</v>
      </c>
      <c r="D19" s="36">
        <f t="shared" si="5"/>
        <v>78.542546573216555</v>
      </c>
      <c r="E19" s="36">
        <f t="shared" si="5"/>
        <v>64.17471108468655</v>
      </c>
      <c r="F19" s="71"/>
    </row>
    <row r="20" spans="1:6" x14ac:dyDescent="0.35">
      <c r="A20" s="1">
        <f t="shared" si="4"/>
        <v>150</v>
      </c>
      <c r="B20" s="2">
        <f t="shared" si="0"/>
        <v>100</v>
      </c>
      <c r="C20" s="36">
        <f t="shared" si="5"/>
        <v>96.770453530154938</v>
      </c>
      <c r="D20" s="36">
        <f t="shared" si="5"/>
        <v>81.61067492263588</v>
      </c>
      <c r="E20" s="36">
        <f t="shared" si="5"/>
        <v>68.156224157464848</v>
      </c>
      <c r="F20" s="71"/>
    </row>
    <row r="21" spans="1:6" x14ac:dyDescent="0.35">
      <c r="A21" s="1">
        <f t="shared" si="4"/>
        <v>160</v>
      </c>
      <c r="B21" s="2">
        <f t="shared" si="0"/>
        <v>100</v>
      </c>
      <c r="C21" s="36">
        <f t="shared" si="5"/>
        <v>97.811872906386952</v>
      </c>
      <c r="D21" s="36">
        <f t="shared" si="5"/>
        <v>83.92079779743338</v>
      </c>
      <c r="E21" s="36">
        <f t="shared" si="5"/>
        <v>71.272254304350966</v>
      </c>
      <c r="F21" s="71"/>
    </row>
    <row r="22" spans="1:6" x14ac:dyDescent="0.35">
      <c r="A22" s="1">
        <f t="shared" si="4"/>
        <v>170</v>
      </c>
      <c r="B22" s="2">
        <f t="shared" ref="B22:B31" si="6">MIN(A22,100)</f>
        <v>100</v>
      </c>
      <c r="C22" s="36">
        <f t="shared" si="5"/>
        <v>98.522596830672697</v>
      </c>
      <c r="D22" s="36">
        <f t="shared" si="5"/>
        <v>85.628866108476942</v>
      </c>
      <c r="E22" s="36">
        <f t="shared" si="5"/>
        <v>73.64491606528172</v>
      </c>
      <c r="F22" s="71"/>
    </row>
    <row r="23" spans="1:6" x14ac:dyDescent="0.35">
      <c r="A23" s="1">
        <f t="shared" si="4"/>
        <v>180</v>
      </c>
      <c r="B23" s="2">
        <f t="shared" si="6"/>
        <v>100</v>
      </c>
      <c r="C23" s="36">
        <f t="shared" si="5"/>
        <v>99.004819813309567</v>
      </c>
      <c r="D23" s="36">
        <f t="shared" si="5"/>
        <v>86.874891341997824</v>
      </c>
      <c r="E23" s="36">
        <f t="shared" si="5"/>
        <v>75.414065928090508</v>
      </c>
      <c r="F23" s="71"/>
    </row>
    <row r="24" spans="1:6" x14ac:dyDescent="0.35">
      <c r="A24" s="1">
        <f t="shared" si="4"/>
        <v>190</v>
      </c>
      <c r="B24" s="2">
        <f t="shared" si="6"/>
        <v>100</v>
      </c>
      <c r="C24" s="36">
        <f t="shared" si="5"/>
        <v>99.330714907571519</v>
      </c>
      <c r="D24" s="36">
        <f t="shared" si="5"/>
        <v>87.774957019766191</v>
      </c>
      <c r="E24" s="36">
        <f t="shared" si="5"/>
        <v>76.712697743962806</v>
      </c>
      <c r="F24" s="71"/>
    </row>
    <row r="25" spans="1:6" x14ac:dyDescent="0.35">
      <c r="A25" s="1">
        <f t="shared" si="4"/>
        <v>200</v>
      </c>
      <c r="B25" s="2">
        <f t="shared" si="6"/>
        <v>100</v>
      </c>
      <c r="C25" s="36">
        <f t="shared" si="5"/>
        <v>99.550372683905877</v>
      </c>
      <c r="D25" s="36">
        <f t="shared" si="5"/>
        <v>88.420506979965808</v>
      </c>
      <c r="E25" s="36">
        <f t="shared" si="5"/>
        <v>77.655021539891493</v>
      </c>
      <c r="F25" s="71"/>
    </row>
    <row r="26" spans="1:6" x14ac:dyDescent="0.35">
      <c r="A26" s="1">
        <f t="shared" si="4"/>
        <v>210</v>
      </c>
      <c r="B26" s="2">
        <f t="shared" si="6"/>
        <v>100</v>
      </c>
      <c r="C26" s="36">
        <f t="shared" si="5"/>
        <v>99.69815836752916</v>
      </c>
      <c r="D26" s="36">
        <f t="shared" si="5"/>
        <v>88.881151423213268</v>
      </c>
      <c r="E26" s="36">
        <f t="shared" si="5"/>
        <v>78.33309243850556</v>
      </c>
      <c r="F26" s="71"/>
    </row>
    <row r="27" spans="1:6" x14ac:dyDescent="0.35">
      <c r="A27" s="1">
        <f t="shared" si="4"/>
        <v>220</v>
      </c>
      <c r="B27" s="2">
        <f t="shared" si="6"/>
        <v>100</v>
      </c>
      <c r="C27" s="36">
        <f t="shared" si="5"/>
        <v>99.797467961095009</v>
      </c>
      <c r="D27" s="36">
        <f t="shared" si="5"/>
        <v>89.208655538429255</v>
      </c>
      <c r="E27" s="36">
        <f t="shared" si="5"/>
        <v>78.818077464538163</v>
      </c>
      <c r="F27" s="71"/>
    </row>
    <row r="28" spans="1:6" x14ac:dyDescent="0.35">
      <c r="A28" s="1">
        <f t="shared" si="4"/>
        <v>230</v>
      </c>
      <c r="B28" s="2">
        <f t="shared" si="6"/>
        <v>100</v>
      </c>
      <c r="C28" s="36">
        <f t="shared" si="5"/>
        <v>99.864148004957116</v>
      </c>
      <c r="D28" s="36">
        <f t="shared" si="5"/>
        <v>89.440897220238355</v>
      </c>
      <c r="E28" s="36">
        <f t="shared" si="5"/>
        <v>79.163463501446543</v>
      </c>
      <c r="F28" s="71"/>
    </row>
    <row r="29" spans="1:6" x14ac:dyDescent="0.35">
      <c r="A29" s="1">
        <f t="shared" si="4"/>
        <v>240</v>
      </c>
      <c r="B29" s="2">
        <f t="shared" si="6"/>
        <v>100</v>
      </c>
      <c r="C29" s="36">
        <f t="shared" si="5"/>
        <v>99.908894880559941</v>
      </c>
      <c r="D29" s="36">
        <f t="shared" si="5"/>
        <v>89.605282800814848</v>
      </c>
      <c r="E29" s="36">
        <f t="shared" si="5"/>
        <v>79.408676692457448</v>
      </c>
      <c r="F29" s="71"/>
    </row>
    <row r="30" spans="1:6" x14ac:dyDescent="0.35">
      <c r="A30" s="1">
        <f t="shared" si="4"/>
        <v>250</v>
      </c>
      <c r="B30" s="2">
        <f t="shared" si="6"/>
        <v>100</v>
      </c>
      <c r="C30" s="36">
        <f t="shared" si="5"/>
        <v>99.938912064056566</v>
      </c>
      <c r="D30" s="36">
        <f t="shared" si="5"/>
        <v>89.72148677083544</v>
      </c>
      <c r="E30" s="36">
        <f t="shared" si="5"/>
        <v>79.582389944515327</v>
      </c>
      <c r="F30" s="71"/>
    </row>
    <row r="31" spans="1:6" x14ac:dyDescent="0.35">
      <c r="A31" s="1">
        <f t="shared" si="4"/>
        <v>260</v>
      </c>
      <c r="B31" s="2">
        <f t="shared" si="6"/>
        <v>100</v>
      </c>
      <c r="C31" s="36">
        <f t="shared" si="5"/>
        <v>99.959043283501401</v>
      </c>
      <c r="D31" s="36">
        <f t="shared" si="5"/>
        <v>89.80355551991893</v>
      </c>
      <c r="E31" s="36">
        <f t="shared" si="5"/>
        <v>79.705260808045125</v>
      </c>
      <c r="F31" s="71"/>
    </row>
    <row r="32" spans="1:6" x14ac:dyDescent="0.35">
      <c r="A32" s="1">
        <f>A31+10</f>
        <v>270</v>
      </c>
      <c r="B32" s="2">
        <f>MIN(A32,100)</f>
        <v>100</v>
      </c>
      <c r="C32" s="36">
        <f t="shared" si="5"/>
        <v>99.972542184389852</v>
      </c>
      <c r="D32" s="36">
        <f t="shared" si="5"/>
        <v>89.861478626189125</v>
      </c>
      <c r="E32" s="36">
        <f t="shared" si="5"/>
        <v>79.792074579014141</v>
      </c>
      <c r="F32" s="71"/>
    </row>
    <row r="33" spans="1:6" x14ac:dyDescent="0.35">
      <c r="A33" s="1">
        <f>A32+10</f>
        <v>280</v>
      </c>
      <c r="B33" s="2">
        <f>MIN(A33,100)</f>
        <v>100</v>
      </c>
      <c r="C33" s="36">
        <f t="shared" si="5"/>
        <v>99.981592809503653</v>
      </c>
      <c r="D33" s="36">
        <f t="shared" si="5"/>
        <v>89.902341249619269</v>
      </c>
      <c r="E33" s="36">
        <f t="shared" si="5"/>
        <v>79.85336488460058</v>
      </c>
      <c r="F33" s="71"/>
    </row>
    <row r="34" spans="1:6" x14ac:dyDescent="0.35">
      <c r="A34" s="1">
        <f>A33+10</f>
        <v>290</v>
      </c>
      <c r="B34" s="2">
        <f>MIN(A34,100)</f>
        <v>100</v>
      </c>
      <c r="C34" s="36">
        <f t="shared" si="5"/>
        <v>99.987660542401372</v>
      </c>
      <c r="D34" s="36">
        <f t="shared" si="5"/>
        <v>89.931158982187171</v>
      </c>
      <c r="E34" s="36">
        <f t="shared" si="5"/>
        <v>79.896612017897013</v>
      </c>
      <c r="F34" s="71"/>
    </row>
    <row r="35" spans="1:6" x14ac:dyDescent="0.35">
      <c r="A35" s="1">
        <f>A34+10</f>
        <v>300</v>
      </c>
      <c r="B35" s="2">
        <f>MIN(A35,100)</f>
        <v>100</v>
      </c>
      <c r="C35" s="36">
        <f t="shared" si="5"/>
        <v>99.991728277714842</v>
      </c>
      <c r="D35" s="36">
        <f t="shared" si="5"/>
        <v>89.951477594221359</v>
      </c>
      <c r="E35" s="36">
        <f t="shared" si="5"/>
        <v>79.927115904447959</v>
      </c>
      <c r="F35" s="71"/>
    </row>
    <row r="36" spans="1:6" s="24" customFormat="1" x14ac:dyDescent="0.35">
      <c r="A36" s="1"/>
      <c r="B36" s="2"/>
      <c r="C36" s="31"/>
      <c r="D36" s="31"/>
      <c r="E36" s="31"/>
    </row>
    <row r="37" spans="1:6" x14ac:dyDescent="0.35">
      <c r="A37" s="1"/>
      <c r="B37" s="34" t="s">
        <v>21</v>
      </c>
      <c r="C37" s="32"/>
      <c r="D37" s="32"/>
      <c r="E37" s="32"/>
    </row>
    <row r="38" spans="1:6" x14ac:dyDescent="0.35">
      <c r="A38" s="1"/>
      <c r="B38" s="33" t="s">
        <v>19</v>
      </c>
      <c r="C38" s="33">
        <v>0.04</v>
      </c>
      <c r="D38" s="33">
        <v>3.5000000000000003E-2</v>
      </c>
      <c r="E38" s="33">
        <v>3.5000000000000003E-2</v>
      </c>
    </row>
    <row r="39" spans="1:6" x14ac:dyDescent="0.35">
      <c r="B39" s="33" t="s">
        <v>20</v>
      </c>
      <c r="C39" s="33">
        <v>100</v>
      </c>
      <c r="D39" s="33">
        <v>90</v>
      </c>
      <c r="E39" s="33">
        <v>80</v>
      </c>
    </row>
    <row r="40" spans="1:6" x14ac:dyDescent="0.35">
      <c r="B40" s="33" t="s">
        <v>18</v>
      </c>
      <c r="C40" s="33">
        <v>65</v>
      </c>
      <c r="D40" s="33">
        <v>85</v>
      </c>
      <c r="E40" s="33">
        <v>100</v>
      </c>
    </row>
  </sheetData>
  <mergeCells count="2">
    <mergeCell ref="F12:F35"/>
    <mergeCell ref="F5:F11"/>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25F4B-73CE-4538-8F70-B78202E626A8}">
  <dimension ref="A1:O25"/>
  <sheetViews>
    <sheetView tabSelected="1" topLeftCell="A16" workbookViewId="0">
      <selection activeCell="F30" sqref="F30"/>
    </sheetView>
  </sheetViews>
  <sheetFormatPr defaultRowHeight="14.5" x14ac:dyDescent="0.35"/>
  <sheetData>
    <row r="1" spans="1:15" x14ac:dyDescent="0.35">
      <c r="A1" s="53"/>
      <c r="B1" s="53"/>
      <c r="C1" s="73" t="s">
        <v>35</v>
      </c>
      <c r="D1" s="73"/>
      <c r="E1" s="73" t="s">
        <v>45</v>
      </c>
      <c r="F1" s="73"/>
      <c r="G1" s="73"/>
      <c r="H1" s="73"/>
      <c r="I1" s="73"/>
      <c r="J1" s="73"/>
      <c r="K1" s="73"/>
      <c r="L1" s="73"/>
      <c r="M1" s="73"/>
      <c r="N1" s="73"/>
      <c r="O1" s="73"/>
    </row>
    <row r="2" spans="1:15" x14ac:dyDescent="0.35">
      <c r="A2" s="54"/>
      <c r="B2" s="55" t="s">
        <v>36</v>
      </c>
      <c r="C2" s="55" t="s">
        <v>37</v>
      </c>
      <c r="D2" s="55" t="s">
        <v>38</v>
      </c>
      <c r="E2" s="56">
        <v>0</v>
      </c>
      <c r="F2" s="56">
        <v>10</v>
      </c>
      <c r="G2" s="56">
        <v>20</v>
      </c>
      <c r="H2" s="56">
        <v>30</v>
      </c>
      <c r="I2" s="56">
        <v>40</v>
      </c>
      <c r="J2" s="56">
        <v>50</v>
      </c>
      <c r="K2" s="56">
        <v>60</v>
      </c>
      <c r="L2" s="56">
        <v>70</v>
      </c>
      <c r="M2" s="56">
        <v>80</v>
      </c>
      <c r="N2" s="56">
        <v>90</v>
      </c>
      <c r="O2" s="56">
        <v>100</v>
      </c>
    </row>
    <row r="3" spans="1:15" ht="15" thickBot="1" x14ac:dyDescent="0.4">
      <c r="A3" s="74" t="s">
        <v>39</v>
      </c>
      <c r="B3" s="74"/>
      <c r="C3" s="74"/>
      <c r="D3" s="74"/>
      <c r="E3" s="74"/>
      <c r="F3" s="74"/>
      <c r="G3" s="74"/>
      <c r="H3" s="74"/>
      <c r="I3" s="74"/>
      <c r="J3" s="74"/>
      <c r="K3" s="74"/>
      <c r="L3" s="74"/>
      <c r="M3" s="74"/>
      <c r="N3" s="74"/>
      <c r="O3" s="74"/>
    </row>
    <row r="4" spans="1:15" x14ac:dyDescent="0.35">
      <c r="A4" s="57"/>
      <c r="B4" s="58" t="s">
        <v>34</v>
      </c>
      <c r="C4" s="59">
        <v>0</v>
      </c>
      <c r="D4" s="59">
        <v>11.5</v>
      </c>
      <c r="E4" s="60">
        <v>0</v>
      </c>
      <c r="F4" s="60">
        <v>0</v>
      </c>
      <c r="G4" s="60">
        <v>0</v>
      </c>
      <c r="H4" s="60">
        <v>0</v>
      </c>
      <c r="I4" s="60">
        <v>0</v>
      </c>
      <c r="J4" s="60">
        <v>0</v>
      </c>
      <c r="K4" s="60">
        <v>0</v>
      </c>
      <c r="L4" s="60">
        <v>0.04</v>
      </c>
      <c r="M4" s="60">
        <v>0.15</v>
      </c>
      <c r="N4" s="60">
        <v>0.27</v>
      </c>
      <c r="O4" s="60">
        <v>0.39</v>
      </c>
    </row>
    <row r="5" spans="1:15" x14ac:dyDescent="0.35">
      <c r="A5" s="57"/>
      <c r="B5" s="58" t="s">
        <v>34</v>
      </c>
      <c r="C5" s="59">
        <v>11.5</v>
      </c>
      <c r="D5" s="59">
        <v>15.2</v>
      </c>
      <c r="E5" s="60">
        <v>0</v>
      </c>
      <c r="F5" s="60">
        <v>0</v>
      </c>
      <c r="G5" s="60">
        <v>0</v>
      </c>
      <c r="H5" s="60">
        <v>0</v>
      </c>
      <c r="I5" s="60">
        <v>0.01</v>
      </c>
      <c r="J5" s="60">
        <v>0.02</v>
      </c>
      <c r="K5" s="60">
        <v>0.05</v>
      </c>
      <c r="L5" s="60">
        <v>0.08</v>
      </c>
      <c r="M5" s="60">
        <v>0.23</v>
      </c>
      <c r="N5" s="60">
        <v>0.37</v>
      </c>
      <c r="O5" s="60">
        <v>0.51</v>
      </c>
    </row>
    <row r="6" spans="1:15" x14ac:dyDescent="0.35">
      <c r="A6" s="57"/>
      <c r="B6" s="58" t="s">
        <v>34</v>
      </c>
      <c r="C6" s="59">
        <v>15.2</v>
      </c>
      <c r="D6" s="59">
        <v>19.8</v>
      </c>
      <c r="E6" s="60">
        <v>0</v>
      </c>
      <c r="F6" s="60">
        <v>0</v>
      </c>
      <c r="G6" s="60">
        <v>0</v>
      </c>
      <c r="H6" s="60">
        <v>0</v>
      </c>
      <c r="I6" s="60">
        <v>0.03</v>
      </c>
      <c r="J6" s="60">
        <v>0.04</v>
      </c>
      <c r="K6" s="60">
        <v>7.0000000000000007E-2</v>
      </c>
      <c r="L6" s="60">
        <v>0.13</v>
      </c>
      <c r="M6" s="60">
        <v>0.3</v>
      </c>
      <c r="N6" s="60">
        <v>0.47</v>
      </c>
      <c r="O6" s="60">
        <v>0.64</v>
      </c>
    </row>
    <row r="7" spans="1:15" x14ac:dyDescent="0.35">
      <c r="A7" s="57"/>
      <c r="B7" s="58" t="s">
        <v>34</v>
      </c>
      <c r="C7" s="59">
        <v>19.8</v>
      </c>
      <c r="D7" s="59">
        <v>24.5</v>
      </c>
      <c r="E7" s="60">
        <v>0</v>
      </c>
      <c r="F7" s="60">
        <v>0</v>
      </c>
      <c r="G7" s="60">
        <v>0</v>
      </c>
      <c r="H7" s="60">
        <v>0</v>
      </c>
      <c r="I7" s="60">
        <v>0.04</v>
      </c>
      <c r="J7" s="60">
        <v>7.0000000000000007E-2</v>
      </c>
      <c r="K7" s="60">
        <v>0.09</v>
      </c>
      <c r="L7" s="60">
        <v>0.19</v>
      </c>
      <c r="M7" s="60">
        <v>0.32</v>
      </c>
      <c r="N7" s="60">
        <v>0.64</v>
      </c>
      <c r="O7" s="60">
        <v>0.96</v>
      </c>
    </row>
    <row r="8" spans="1:15" ht="15" thickBot="1" x14ac:dyDescent="0.4">
      <c r="A8" s="57"/>
      <c r="B8" s="61" t="s">
        <v>34</v>
      </c>
      <c r="C8" s="62">
        <v>24.5</v>
      </c>
      <c r="D8" s="62">
        <v>999</v>
      </c>
      <c r="E8" s="63">
        <v>0</v>
      </c>
      <c r="F8" s="63">
        <v>0</v>
      </c>
      <c r="G8" s="63">
        <v>0</v>
      </c>
      <c r="H8" s="63">
        <v>0</v>
      </c>
      <c r="I8" s="63">
        <v>7.0000000000000007E-2</v>
      </c>
      <c r="J8" s="63">
        <v>0.12</v>
      </c>
      <c r="K8" s="63">
        <v>0.16</v>
      </c>
      <c r="L8" s="63">
        <v>0.27</v>
      </c>
      <c r="M8" s="63">
        <v>0.52</v>
      </c>
      <c r="N8" s="63">
        <v>0.82</v>
      </c>
      <c r="O8" s="63">
        <v>1</v>
      </c>
    </row>
    <row r="9" spans="1:15" x14ac:dyDescent="0.35">
      <c r="A9" s="57"/>
      <c r="B9" s="58" t="s">
        <v>40</v>
      </c>
      <c r="C9" s="59">
        <v>0</v>
      </c>
      <c r="D9" s="59">
        <v>12.3</v>
      </c>
      <c r="E9" s="60">
        <v>0</v>
      </c>
      <c r="F9" s="60">
        <v>0</v>
      </c>
      <c r="G9" s="60">
        <v>0</v>
      </c>
      <c r="H9" s="60">
        <v>0</v>
      </c>
      <c r="I9" s="60">
        <v>0</v>
      </c>
      <c r="J9" s="60">
        <v>0</v>
      </c>
      <c r="K9" s="60">
        <v>0</v>
      </c>
      <c r="L9" s="60">
        <v>0.04</v>
      </c>
      <c r="M9" s="60">
        <v>0.15</v>
      </c>
      <c r="N9" s="60">
        <v>0.27</v>
      </c>
      <c r="O9" s="60">
        <v>0.39</v>
      </c>
    </row>
    <row r="10" spans="1:15" x14ac:dyDescent="0.35">
      <c r="A10" s="57"/>
      <c r="B10" s="58" t="s">
        <v>40</v>
      </c>
      <c r="C10" s="59">
        <v>12.3</v>
      </c>
      <c r="D10" s="59">
        <v>17.2</v>
      </c>
      <c r="E10" s="60">
        <v>0</v>
      </c>
      <c r="F10" s="60">
        <v>0</v>
      </c>
      <c r="G10" s="60">
        <v>0</v>
      </c>
      <c r="H10" s="60">
        <v>0</v>
      </c>
      <c r="I10" s="60">
        <v>0.01</v>
      </c>
      <c r="J10" s="60">
        <v>0.02</v>
      </c>
      <c r="K10" s="60">
        <v>0.05</v>
      </c>
      <c r="L10" s="60">
        <v>0.08</v>
      </c>
      <c r="M10" s="60">
        <v>0.23</v>
      </c>
      <c r="N10" s="60">
        <v>0.37</v>
      </c>
      <c r="O10" s="60">
        <v>0.51</v>
      </c>
    </row>
    <row r="11" spans="1:15" x14ac:dyDescent="0.35">
      <c r="A11" s="57"/>
      <c r="B11" s="58" t="s">
        <v>40</v>
      </c>
      <c r="C11" s="59">
        <v>17.2</v>
      </c>
      <c r="D11" s="59">
        <v>23.7</v>
      </c>
      <c r="E11" s="60">
        <v>0</v>
      </c>
      <c r="F11" s="60">
        <v>0</v>
      </c>
      <c r="G11" s="60">
        <v>0</v>
      </c>
      <c r="H11" s="60">
        <v>0</v>
      </c>
      <c r="I11" s="60">
        <v>0.03</v>
      </c>
      <c r="J11" s="60">
        <v>0.04</v>
      </c>
      <c r="K11" s="60">
        <v>7.0000000000000007E-2</v>
      </c>
      <c r="L11" s="60">
        <v>0.13</v>
      </c>
      <c r="M11" s="60">
        <v>0.3</v>
      </c>
      <c r="N11" s="60">
        <v>0.47</v>
      </c>
      <c r="O11" s="60">
        <v>0.64</v>
      </c>
    </row>
    <row r="12" spans="1:15" x14ac:dyDescent="0.35">
      <c r="A12" s="57"/>
      <c r="B12" s="58" t="s">
        <v>40</v>
      </c>
      <c r="C12" s="59">
        <v>23.7</v>
      </c>
      <c r="D12" s="59">
        <v>30.7</v>
      </c>
      <c r="E12" s="60">
        <v>0</v>
      </c>
      <c r="F12" s="60">
        <v>0</v>
      </c>
      <c r="G12" s="60">
        <v>0</v>
      </c>
      <c r="H12" s="60">
        <v>0</v>
      </c>
      <c r="I12" s="60">
        <v>0.04</v>
      </c>
      <c r="J12" s="60">
        <v>7.0000000000000007E-2</v>
      </c>
      <c r="K12" s="60">
        <v>0.09</v>
      </c>
      <c r="L12" s="60">
        <v>0.19</v>
      </c>
      <c r="M12" s="60">
        <v>0.32</v>
      </c>
      <c r="N12" s="60">
        <v>0.64</v>
      </c>
      <c r="O12" s="60">
        <v>0.96</v>
      </c>
    </row>
    <row r="13" spans="1:15" ht="15" thickBot="1" x14ac:dyDescent="0.4">
      <c r="A13" s="57"/>
      <c r="B13" s="61" t="s">
        <v>40</v>
      </c>
      <c r="C13" s="62">
        <v>30.7</v>
      </c>
      <c r="D13" s="62">
        <v>999</v>
      </c>
      <c r="E13" s="63">
        <v>0</v>
      </c>
      <c r="F13" s="63">
        <v>0</v>
      </c>
      <c r="G13" s="63">
        <v>0</v>
      </c>
      <c r="H13" s="63">
        <v>0</v>
      </c>
      <c r="I13" s="63">
        <v>7.0000000000000007E-2</v>
      </c>
      <c r="J13" s="63">
        <v>0.12</v>
      </c>
      <c r="K13" s="63">
        <v>0.16</v>
      </c>
      <c r="L13" s="63">
        <v>0.27</v>
      </c>
      <c r="M13" s="63">
        <v>0.52</v>
      </c>
      <c r="N13" s="63">
        <v>0.82</v>
      </c>
      <c r="O13" s="63">
        <v>1</v>
      </c>
    </row>
    <row r="14" spans="1:15" x14ac:dyDescent="0.35">
      <c r="A14" s="57"/>
      <c r="B14" s="58" t="s">
        <v>41</v>
      </c>
      <c r="C14" s="59">
        <v>0</v>
      </c>
      <c r="D14" s="59">
        <v>10.4</v>
      </c>
      <c r="E14" s="60">
        <v>0</v>
      </c>
      <c r="F14" s="60">
        <v>0</v>
      </c>
      <c r="G14" s="60">
        <v>0</v>
      </c>
      <c r="H14" s="60">
        <v>0</v>
      </c>
      <c r="I14" s="60">
        <v>0.01</v>
      </c>
      <c r="J14" s="60">
        <v>0.02</v>
      </c>
      <c r="K14" s="60">
        <v>0.05</v>
      </c>
      <c r="L14" s="60">
        <v>0.11</v>
      </c>
      <c r="M14" s="60">
        <v>0.24</v>
      </c>
      <c r="N14" s="60">
        <v>0.37</v>
      </c>
      <c r="O14" s="60">
        <v>0.5</v>
      </c>
    </row>
    <row r="15" spans="1:15" x14ac:dyDescent="0.35">
      <c r="A15" s="57"/>
      <c r="B15" s="58" t="s">
        <v>41</v>
      </c>
      <c r="C15" s="59">
        <v>10.4</v>
      </c>
      <c r="D15" s="59">
        <v>19.100000000000001</v>
      </c>
      <c r="E15" s="60">
        <v>0</v>
      </c>
      <c r="F15" s="60">
        <v>0</v>
      </c>
      <c r="G15" s="60">
        <v>0</v>
      </c>
      <c r="H15" s="60">
        <v>0</v>
      </c>
      <c r="I15" s="60">
        <v>0.02</v>
      </c>
      <c r="J15" s="60">
        <v>0.04</v>
      </c>
      <c r="K15" s="60">
        <v>7.0000000000000007E-2</v>
      </c>
      <c r="L15" s="60">
        <v>0.14000000000000001</v>
      </c>
      <c r="M15" s="60">
        <v>0.3</v>
      </c>
      <c r="N15" s="60">
        <v>0.46</v>
      </c>
      <c r="O15" s="60">
        <v>0.62</v>
      </c>
    </row>
    <row r="16" spans="1:15" x14ac:dyDescent="0.35">
      <c r="A16" s="57"/>
      <c r="B16" s="58" t="s">
        <v>41</v>
      </c>
      <c r="C16" s="59">
        <v>19.100000000000001</v>
      </c>
      <c r="D16" s="59">
        <v>25</v>
      </c>
      <c r="E16" s="60">
        <v>0</v>
      </c>
      <c r="F16" s="60">
        <v>0</v>
      </c>
      <c r="G16" s="60">
        <v>0</v>
      </c>
      <c r="H16" s="60">
        <v>0</v>
      </c>
      <c r="I16" s="60">
        <v>0.04</v>
      </c>
      <c r="J16" s="60">
        <v>0.06</v>
      </c>
      <c r="K16" s="60">
        <v>0.08</v>
      </c>
      <c r="L16" s="60">
        <v>0.19</v>
      </c>
      <c r="M16" s="60">
        <v>0.37</v>
      </c>
      <c r="N16" s="60">
        <v>0.54</v>
      </c>
      <c r="O16" s="60">
        <v>0.71</v>
      </c>
    </row>
    <row r="17" spans="1:15" x14ac:dyDescent="0.35">
      <c r="A17" s="57"/>
      <c r="B17" s="58" t="s">
        <v>41</v>
      </c>
      <c r="C17" s="59">
        <v>25</v>
      </c>
      <c r="D17" s="59">
        <v>32.200000000000003</v>
      </c>
      <c r="E17" s="60">
        <v>0</v>
      </c>
      <c r="F17" s="60">
        <v>0</v>
      </c>
      <c r="G17" s="60">
        <v>0</v>
      </c>
      <c r="H17" s="60">
        <v>0</v>
      </c>
      <c r="I17" s="60">
        <v>0.05</v>
      </c>
      <c r="J17" s="60">
        <v>0.09</v>
      </c>
      <c r="K17" s="60">
        <v>0.13</v>
      </c>
      <c r="L17" s="60">
        <v>0.25</v>
      </c>
      <c r="M17" s="60">
        <v>0.39</v>
      </c>
      <c r="N17" s="60">
        <v>0.69</v>
      </c>
      <c r="O17" s="60">
        <v>0.99</v>
      </c>
    </row>
    <row r="18" spans="1:15" ht="15" thickBot="1" x14ac:dyDescent="0.4">
      <c r="A18" s="57"/>
      <c r="B18" s="61" t="s">
        <v>41</v>
      </c>
      <c r="C18" s="62">
        <v>32.200000000000003</v>
      </c>
      <c r="D18" s="62">
        <v>999</v>
      </c>
      <c r="E18" s="63">
        <v>0</v>
      </c>
      <c r="F18" s="63">
        <v>0</v>
      </c>
      <c r="G18" s="63">
        <v>0</v>
      </c>
      <c r="H18" s="63">
        <v>0</v>
      </c>
      <c r="I18" s="63">
        <v>0.08</v>
      </c>
      <c r="J18" s="63">
        <v>0.14000000000000001</v>
      </c>
      <c r="K18" s="63">
        <v>0.2</v>
      </c>
      <c r="L18" s="63">
        <v>0.32</v>
      </c>
      <c r="M18" s="63">
        <v>0.56999999999999995</v>
      </c>
      <c r="N18" s="63">
        <v>0.85</v>
      </c>
      <c r="O18" s="63">
        <v>1</v>
      </c>
    </row>
    <row r="19" spans="1:15" x14ac:dyDescent="0.35">
      <c r="A19" s="57"/>
      <c r="B19" s="58" t="s">
        <v>42</v>
      </c>
      <c r="C19" s="59">
        <v>0</v>
      </c>
      <c r="D19" s="59">
        <v>9.6999999999999993</v>
      </c>
      <c r="E19" s="60">
        <v>0</v>
      </c>
      <c r="F19" s="60">
        <v>0</v>
      </c>
      <c r="G19" s="60">
        <v>0</v>
      </c>
      <c r="H19" s="60">
        <v>0</v>
      </c>
      <c r="I19" s="60">
        <v>0.02</v>
      </c>
      <c r="J19" s="60">
        <v>0.04</v>
      </c>
      <c r="K19" s="60">
        <v>0.06</v>
      </c>
      <c r="L19" s="60">
        <v>0.17</v>
      </c>
      <c r="M19" s="60">
        <v>0.22</v>
      </c>
      <c r="N19" s="60">
        <v>0.49</v>
      </c>
      <c r="O19" s="60">
        <v>0.76</v>
      </c>
    </row>
    <row r="20" spans="1:15" x14ac:dyDescent="0.35">
      <c r="A20" s="57"/>
      <c r="B20" s="58" t="s">
        <v>42</v>
      </c>
      <c r="C20" s="59">
        <v>9.6999999999999993</v>
      </c>
      <c r="D20" s="59">
        <v>12.8</v>
      </c>
      <c r="E20" s="60">
        <v>0</v>
      </c>
      <c r="F20" s="60">
        <v>0</v>
      </c>
      <c r="G20" s="60">
        <v>0</v>
      </c>
      <c r="H20" s="60">
        <v>0</v>
      </c>
      <c r="I20" s="60">
        <v>0.03</v>
      </c>
      <c r="J20" s="60">
        <v>0.06</v>
      </c>
      <c r="K20" s="60">
        <v>0.09</v>
      </c>
      <c r="L20" s="60">
        <v>0.2</v>
      </c>
      <c r="M20" s="60">
        <v>0.22</v>
      </c>
      <c r="N20" s="60">
        <v>0.56000000000000005</v>
      </c>
      <c r="O20" s="60">
        <v>0.9</v>
      </c>
    </row>
    <row r="21" spans="1:15" x14ac:dyDescent="0.35">
      <c r="A21" s="57"/>
      <c r="B21" s="58" t="s">
        <v>42</v>
      </c>
      <c r="C21" s="59">
        <v>12.8</v>
      </c>
      <c r="D21" s="59">
        <v>16.7</v>
      </c>
      <c r="E21" s="60">
        <v>0</v>
      </c>
      <c r="F21" s="60">
        <v>0</v>
      </c>
      <c r="G21" s="60">
        <v>0</v>
      </c>
      <c r="H21" s="60">
        <v>0</v>
      </c>
      <c r="I21" s="60">
        <v>0.05</v>
      </c>
      <c r="J21" s="60">
        <v>0.08</v>
      </c>
      <c r="K21" s="60">
        <v>0.12</v>
      </c>
      <c r="L21" s="60">
        <v>0.24</v>
      </c>
      <c r="M21" s="60">
        <v>0.31</v>
      </c>
      <c r="N21" s="60">
        <v>0.63</v>
      </c>
      <c r="O21" s="60">
        <v>0.95</v>
      </c>
    </row>
    <row r="22" spans="1:15" x14ac:dyDescent="0.35">
      <c r="A22" s="57"/>
      <c r="B22" s="58" t="s">
        <v>42</v>
      </c>
      <c r="C22" s="59">
        <v>16.7</v>
      </c>
      <c r="D22" s="59">
        <v>21</v>
      </c>
      <c r="E22" s="60">
        <v>0</v>
      </c>
      <c r="F22" s="60">
        <v>0</v>
      </c>
      <c r="G22" s="60">
        <v>0</v>
      </c>
      <c r="H22" s="60">
        <v>0</v>
      </c>
      <c r="I22" s="60">
        <v>0.06</v>
      </c>
      <c r="J22" s="60">
        <v>0.11</v>
      </c>
      <c r="K22" s="60">
        <v>0.17</v>
      </c>
      <c r="L22" s="60">
        <v>0.3</v>
      </c>
      <c r="M22" s="60">
        <v>0.46</v>
      </c>
      <c r="N22" s="60">
        <v>0.75</v>
      </c>
      <c r="O22" s="60">
        <v>1</v>
      </c>
    </row>
    <row r="23" spans="1:15" ht="15" thickBot="1" x14ac:dyDescent="0.4">
      <c r="A23" s="57"/>
      <c r="B23" s="61" t="s">
        <v>42</v>
      </c>
      <c r="C23" s="62">
        <v>21</v>
      </c>
      <c r="D23" s="62">
        <v>999</v>
      </c>
      <c r="E23" s="63">
        <v>0</v>
      </c>
      <c r="F23" s="63">
        <v>0</v>
      </c>
      <c r="G23" s="63">
        <v>0</v>
      </c>
      <c r="H23" s="63">
        <v>0</v>
      </c>
      <c r="I23" s="63">
        <v>0.09</v>
      </c>
      <c r="J23" s="63">
        <v>0.15</v>
      </c>
      <c r="K23" s="63">
        <v>0.24</v>
      </c>
      <c r="L23" s="63">
        <v>0.37</v>
      </c>
      <c r="M23" s="63">
        <v>0.62</v>
      </c>
      <c r="N23" s="63">
        <v>0.88</v>
      </c>
      <c r="O23" s="63">
        <v>1</v>
      </c>
    </row>
    <row r="24" spans="1:15" ht="15" thickBot="1" x14ac:dyDescent="0.4">
      <c r="A24" s="74" t="s">
        <v>43</v>
      </c>
      <c r="B24" s="74"/>
      <c r="C24" s="74"/>
      <c r="D24" s="74"/>
      <c r="E24" s="74"/>
      <c r="F24" s="74"/>
      <c r="G24" s="74"/>
      <c r="H24" s="74"/>
      <c r="I24" s="74"/>
      <c r="J24" s="74"/>
      <c r="K24" s="74"/>
      <c r="L24" s="74"/>
      <c r="M24" s="74"/>
      <c r="N24" s="74"/>
      <c r="O24" s="74"/>
    </row>
    <row r="25" spans="1:15" ht="15" thickBot="1" x14ac:dyDescent="0.4">
      <c r="A25" s="64"/>
      <c r="B25" s="61" t="s">
        <v>44</v>
      </c>
      <c r="C25" s="62">
        <v>0</v>
      </c>
      <c r="D25" s="62">
        <v>999</v>
      </c>
      <c r="E25" s="63">
        <v>1</v>
      </c>
      <c r="F25" s="63">
        <v>0.92</v>
      </c>
      <c r="G25" s="63">
        <v>0.82</v>
      </c>
      <c r="H25" s="63">
        <v>0.73</v>
      </c>
      <c r="I25" s="63">
        <v>0.63</v>
      </c>
      <c r="J25" s="63">
        <v>0.53</v>
      </c>
      <c r="K25" s="63">
        <v>0.43</v>
      </c>
      <c r="L25" s="63">
        <v>0.33</v>
      </c>
      <c r="M25" s="63">
        <v>0.24</v>
      </c>
      <c r="N25" s="63">
        <v>0.14000000000000001</v>
      </c>
      <c r="O25" s="63">
        <v>0</v>
      </c>
    </row>
  </sheetData>
  <mergeCells count="4">
    <mergeCell ref="C1:D1"/>
    <mergeCell ref="E1:O1"/>
    <mergeCell ref="A3:O3"/>
    <mergeCell ref="A24:O24"/>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versions xmlns="http://schemas.microsoft.com/SolverFoundationForExcel/Version">
  <addinversion>3.1</addinversion>
</versions>
</file>

<file path=customXml/item2.xml>��< ? x m l   v e r s i o n = " 1 . 0 "   e n c o d i n g = " u t f - 1 6 " ? > < M o d e l   x m l n s = " h t t p : / / s c h e m a s . m i c r o s o f t . c o m / S o l v e r F o u n d a t i o n / "   x m l n s : x s i = " h t t p : / / w w w . w 3 . o r g / 2 0 0 1 / X M L S c h e m a - i n s t a n c e "   x m l n s : x s d = " h t t p : / / w w w . w 3 . o r g / 2 0 0 1 / X M L S c h e m a " >  
     < M o d e l T e x t > / /   M o d e l :   T h i s   i s   t h e   m a i n   m o d e l i n g   a r e a  
 M o d e l [  
  
     / /   P a r a m e t e r s :   T h i s   i s   w h e r e   y o u   d e f i n e   t h e   d a t a   t h a t   p l u g s   i n t o   t h e    
     / /   m o d e l .   P a r a m e t e r s   c a n   b e   d e c l a r e d   a s   S e t s   t h a t   a r e   l a t e r   u s e d   a s    
     / /   i n d i c e s   ( i n   o t h e r   P a r a m e t e r s   o r   D e c i s i o n s ) ,   o r   a s   s i n g l e d - v a l u e d    
     / /   c o n s t a n t s   o f   t y p e   R e a l s ,   I n t e g e r s ,   o r   B o o l e a n s .   W h e n   P a r a m e t e r s    
     / /   a r e   d e c l a r e d   a s   S e t s ,   t h e   e l e m e n t s   o f   t h e   s e t s   w i l l   c o m e   f r o m   t h e    
     / /   s p r e a d s h e e t   v i a   t h e   d a t a   b i n d i n g   f u n c t i o n a l i t y .   W h e n   P a r a m e t e r s    
     / /   a r e   d e c l a r e d   a s   c o n s t a n t s ,   t h e i r   v a l u e s   c a n   b e   i n i t i a l i z e d   e i t h e r   i n    
     / /   p l a c e   u s i n g   =   o r   f r o m   d a t a   b i n d i n g   f u n c t i o n a l i t y .  
     P a r a m e t e r s [  
  
     ] ,  
  
     / /   D e c i s i o n s :   T h e s e   a r e   t h e    o u t p u t s    o f   t h e   s o l v e r .   T h e y   a r e   t h e    
     / /   r e s u l t s   o f   t h e   m o d e l   b e i n g   s o l v e d .   S u p p o r t e d   t y p e s   f o r   D e c i s i o n s    
     / /   c a n   b e   R e a l s ,   I n t e g e r s ,   o r   B o o l e a n s .   D e c i s i o n s   a r e   m a n d a t o r y .  
     D e c i s i o n s [  
  
     ] ,  
  
     / /   C o n s t r a i n t s :   T h i s   i s   w h e r e   y o u   c a n   a d d   b u s i n e s s   c o n s t r a i n t s   t o    
     / /   t h e   m o d e l .   T h e s e   a r e   r e s t r i c t i o n s   p l a c e d   o n   D e c i s i o n s .  
     C o n s t r a i n t s [  
  
     ] ,  
    
     / /   G o a l s :   T h i s   i s   w h e r e   y o u   d e f i n e   t h e   b u s i n e s s   g o a l   o r   g o a l s   y o u  
     / /   a r e   t r y i n g   t o   a c c o m p l i s h .   T h e s e   a r e   u s e d   t o   s p e c i f y   a   q u a n t i t y   t h a t    
     / /   s h o u l d   b e   m a x i m i z e d   o r   m i n i m i z e d   ( M i n i m i z e [ ]   o r   M a x i m i z e   [ ] )  
     G o a l s [  
  
     ]  
  
 ] < / M o d e l T e x t >  
     < D a t a B i n d i n g s >  
         < B i n d i n g S o u r c e I n f o >  
             < N a m e > E x c e l A d d I n < / N a m e >  
             < C o n n e c t i o n / >  
             < P a r a m e t e r B i n d i n g s / >  
             < D e c i s i o n B i n d i n g s / >  
         < / B i n d i n g S o u r c e I n f o >  
     < / D a t a B i n d i n g s >  
     < D i r e c t i v e s / >  
     < O p t i o n s >  
         < P r o p e r t y I n f o >  
             < N a m e > A l l o w M o d e l T e x t E d i t i n g < / N a m e >  
             < V a l u e   x s i : t y p e = " x s d : b o o l e a n " > f a l s e < / V a l u e >  
         < / P r o p e r t y I n f o >  
         < P r o p e r t y I n f o >  
             < N a m e > E d i t o r V i s i b l e < / N a m e >  
             < V a l u e   x s i : t y p e = " x s d : b o o l e a n " > f a l s e < / V a l u e >  
         < / P r o p e r t y I n f o >  
         < P r o p e r t y I n f o >  
             < N a m e > C l e a r L o g O n S o l v i n g < / N a m e >  
             < V a l u e   x s i : t y p e = " x s d : b o o l e a n " > f a l s e < / V a l u e >  
         < / P r o p e r t y I n f o >  
         < P r o p e r t y I n f o >  
             < N a m e > S a m p l i n g C o u n t < / N a m e >  
             < V a l u e   x s i : t y p e = " x s d : i n t " > 0 < / V a l u e >  
         < / P r o p e r t y I n f o >  
         < P r o p e r t y I n f o >  
             < N a m e > R a n d o m S e e d < / N a m e >  
             < V a l u e   x s i : t y p e = " x s d : i n t " > 0 < / V a l u e >  
         < / P r o p e r t y I n f o >  
         < P r o p e r t y I n f o >  
             < N a m e > S a m p l i n g M e t h o d < / N a m e >  
             < V a l u e   x s i : t y p e = " x s d : i n t " > 0 < / V a l u e >  
         < / P r o p e r t y I n f o >  
         < P r o p e r t y I n f o >  
             < N a m e > R e p o r t O p t i o n s < / N a m e >  
             < V a l u e   x s i : t y p e = " x s d : i n t " > 5 < / V a l u e >  
         < / P r o p e r t y I n f o >  
     < / O p t i o n s >  
 < / M o d e l > 
</file>

<file path=customXml/itemProps1.xml><?xml version="1.0" encoding="utf-8"?>
<ds:datastoreItem xmlns:ds="http://schemas.openxmlformats.org/officeDocument/2006/customXml" ds:itemID="{17B68761-B071-4B31-B1C6-697A1014BA82}">
  <ds:schemaRefs>
    <ds:schemaRef ds:uri="http://schemas.microsoft.com/SolverFoundationForExcel/Version"/>
  </ds:schemaRefs>
</ds:datastoreItem>
</file>

<file path=customXml/itemProps2.xml><?xml version="1.0" encoding="utf-8"?>
<ds:datastoreItem xmlns:ds="http://schemas.openxmlformats.org/officeDocument/2006/customXml" ds:itemID="{FC3298E6-9112-4F9E-838F-41D58DC9B87F}">
  <ds:schemaRefs>
    <ds:schemaRef ds:uri="http://schemas.microsoft.com/SolverFoundation/"/>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Outbreak assumptions</vt:lpstr>
      <vt:lpstr>Host L2 --&gt; DEFOL relationship</vt:lpstr>
      <vt:lpstr>Host DEFOL --&gt; Impact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FORUS Research</cp:lastModifiedBy>
  <dcterms:created xsi:type="dcterms:W3CDTF">2018-03-06T12:04:17Z</dcterms:created>
  <dcterms:modified xsi:type="dcterms:W3CDTF">2022-01-10T19:16:58Z</dcterms:modified>
</cp:coreProperties>
</file>